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Default Extension="vml" ContentType="application/vnd.openxmlformats-officedocument.vmlDrawing"/>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0" windowWidth="11490" windowHeight="6780" activeTab="0"/>
  </bookViews>
  <sheets>
    <sheet name="TOC" sheetId="1" r:id="rId1"/>
    <sheet name="Table 15-5" sheetId="2" r:id="rId2"/>
    <sheet name="Table 15-6" sheetId="3" r:id="rId3"/>
    <sheet name="Table 15-7" sheetId="4" r:id="rId4"/>
    <sheet name="Table 15-8" sheetId="5" r:id="rId5"/>
    <sheet name="Table 15-9" sheetId="6" r:id="rId6"/>
    <sheet name="Table 15-10" sheetId="7" r:id="rId7"/>
    <sheet name="Table 15-11" sheetId="8" r:id="rId8"/>
    <sheet name="Table 15-12" sheetId="9" r:id="rId9"/>
    <sheet name="Table 15-13" sheetId="10" r:id="rId10"/>
    <sheet name="Table 15-14" sheetId="11" r:id="rId11"/>
    <sheet name="Table 15-15" sheetId="12" r:id="rId12"/>
    <sheet name="Table 15-16" sheetId="13" r:id="rId13"/>
    <sheet name="Table 15-17" sheetId="14" r:id="rId14"/>
    <sheet name="Table 15-18" sheetId="15" r:id="rId15"/>
    <sheet name="Table 15-19" sheetId="16" r:id="rId16"/>
    <sheet name="Table 15-20" sheetId="17" r:id="rId17"/>
    <sheet name="Table 15-21" sheetId="18" r:id="rId18"/>
    <sheet name="Table 15-22" sheetId="19" r:id="rId19"/>
    <sheet name="Table 15-23" sheetId="20" r:id="rId20"/>
    <sheet name="Table 15-24" sheetId="21" r:id="rId21"/>
    <sheet name="Table 15-25" sheetId="22" r:id="rId22"/>
    <sheet name="Table 15-26" sheetId="23" r:id="rId23"/>
    <sheet name="Table 15-27" sheetId="24" r:id="rId24"/>
    <sheet name="Table 15-28" sheetId="25" r:id="rId25"/>
    <sheet name="Table 15-29" sheetId="26" r:id="rId26"/>
    <sheet name="Table 15-30" sheetId="27" r:id="rId27"/>
    <sheet name="Table 15-31" sheetId="28" r:id="rId28"/>
    <sheet name="Table 15-32" sheetId="29" r:id="rId29"/>
    <sheet name="Table 15-33" sheetId="30" r:id="rId30"/>
    <sheet name="Table 15-34" sheetId="31" r:id="rId31"/>
    <sheet name="Table 15-35" sheetId="32" r:id="rId32"/>
    <sheet name="Table 15-36" sheetId="33" r:id="rId33"/>
    <sheet name="Table 15-37" sheetId="34" r:id="rId34"/>
    <sheet name="Table 15-38" sheetId="35" r:id="rId35"/>
    <sheet name="Table 15-39" sheetId="36" r:id="rId36"/>
    <sheet name="Table 15-40" sheetId="37" r:id="rId37"/>
  </sheets>
  <definedNames/>
  <calcPr fullCalcOnLoad="1"/>
</workbook>
</file>

<file path=xl/comments35.xml><?xml version="1.0" encoding="utf-8"?>
<comments xmlns="http://schemas.openxmlformats.org/spreadsheetml/2006/main">
  <authors>
    <author>Gretchen Hickey</author>
  </authors>
  <commentList>
    <comment ref="B9" authorId="0">
      <text>
        <r>
          <rPr>
            <sz val="9"/>
            <rFont val="Tahoma"/>
            <family val="0"/>
          </rPr>
          <t xml:space="preserve">A correction was made here for the 2015 obligations amount for Arkansas after the Budget CD-ROM was produced, so they do not match.
</t>
        </r>
      </text>
    </comment>
    <comment ref="B24" authorId="0">
      <text>
        <r>
          <rPr>
            <sz val="9"/>
            <rFont val="Tahoma"/>
            <family val="0"/>
          </rPr>
          <t xml:space="preserve">A correction was made here for the 2015 obligations amount for Louisiana after the Budget CD-ROM was produced, so they do not match.
</t>
        </r>
      </text>
    </comment>
  </commentList>
</comments>
</file>

<file path=xl/sharedStrings.xml><?xml version="1.0" encoding="utf-8"?>
<sst xmlns="http://schemas.openxmlformats.org/spreadsheetml/2006/main" count="3046" uniqueCount="473">
  <si>
    <t>Table of Contents</t>
  </si>
  <si>
    <t>Table Number</t>
  </si>
  <si>
    <t>Agency and Bureau</t>
  </si>
  <si>
    <t>Program Name</t>
  </si>
  <si>
    <t>CFDA Number</t>
  </si>
  <si>
    <t>15-5</t>
  </si>
  <si>
    <t>Department of Agriculture,
Food and Nutrition Service</t>
  </si>
  <si>
    <t>School Breakfast Program</t>
  </si>
  <si>
    <t>15-6</t>
  </si>
  <si>
    <t>National School Lunch Program</t>
  </si>
  <si>
    <t>15-7</t>
  </si>
  <si>
    <t>Special Supplemental Nutrition Program for Women, Infants, and Children</t>
  </si>
  <si>
    <t>15-8</t>
  </si>
  <si>
    <t>Child and Adult Care Food Program</t>
  </si>
  <si>
    <t>15-9</t>
  </si>
  <si>
    <t>State Administrative Matching Grants for the Supplemental Nutrition Assistance Program (Food Stamps)</t>
  </si>
  <si>
    <t>15-10</t>
  </si>
  <si>
    <t>Department of Education,
Office of Elementary and Secondary Education</t>
  </si>
  <si>
    <t>Title I Grants to Local Educational Agencies</t>
  </si>
  <si>
    <t>15-11</t>
  </si>
  <si>
    <t>Supporting Effective Instruction State Grants</t>
  </si>
  <si>
    <t>15-12</t>
  </si>
  <si>
    <t>Department of Education,
Office of Special Education and Rehabilitative Services</t>
  </si>
  <si>
    <t>Special Education-Grants to States</t>
  </si>
  <si>
    <t>15-13</t>
  </si>
  <si>
    <t>Vocational Rehabilitation State Grants</t>
  </si>
  <si>
    <t>15-14</t>
  </si>
  <si>
    <t>Department of Health and Human Services,
Centers for Medicare and Medicaid Services</t>
  </si>
  <si>
    <t>Affordable Insurance Exchange Grants</t>
  </si>
  <si>
    <t>15-15</t>
  </si>
  <si>
    <t>15-16</t>
  </si>
  <si>
    <t>15-17</t>
  </si>
  <si>
    <t>Department of Health and Human Services,
Administration for Children and Families</t>
  </si>
  <si>
    <t>15-18</t>
  </si>
  <si>
    <t>15-19</t>
  </si>
  <si>
    <t>15-20</t>
  </si>
  <si>
    <t>15-21</t>
  </si>
  <si>
    <t>93.596A</t>
  </si>
  <si>
    <t>15-22</t>
  </si>
  <si>
    <t>93.596B</t>
  </si>
  <si>
    <t>15-23</t>
  </si>
  <si>
    <t>15-24</t>
  </si>
  <si>
    <t>15-25</t>
  </si>
  <si>
    <t>15-26</t>
  </si>
  <si>
    <t>15-27</t>
  </si>
  <si>
    <t>Department of Health and Human Services,
Health Resources and Services Administration</t>
  </si>
  <si>
    <t>15-28</t>
  </si>
  <si>
    <t>Department of Homeland Security,
Federal Emergency Management Agency</t>
  </si>
  <si>
    <t>Preparedness Grants</t>
  </si>
  <si>
    <t>97.067 et al</t>
  </si>
  <si>
    <t>15-29</t>
  </si>
  <si>
    <t>Department of Housing and Urban Development,
Public and Indian Housing Programs</t>
  </si>
  <si>
    <t>15-30</t>
  </si>
  <si>
    <t>15-31</t>
  </si>
  <si>
    <t>15-32</t>
  </si>
  <si>
    <t>Department of Housing and Urban Development,
Community Planning and Development</t>
  </si>
  <si>
    <t>Community Development Block Grant</t>
  </si>
  <si>
    <t>14.218; 14.225; 14.228; 14.862</t>
  </si>
  <si>
    <t>15-33</t>
  </si>
  <si>
    <t>Community Development Block Grant - Disaster Recovery</t>
  </si>
  <si>
    <t>14.218; 14.228; 14.269</t>
  </si>
  <si>
    <t>15-34</t>
  </si>
  <si>
    <t>Department of Labor,
Employment and Training Administration</t>
  </si>
  <si>
    <t>15-35</t>
  </si>
  <si>
    <t>Department of Transportation,
Federal Transit Administration</t>
  </si>
  <si>
    <t>15-36</t>
  </si>
  <si>
    <t>Department of Transportation,
Federal Aviation Administration</t>
  </si>
  <si>
    <t>15-37</t>
  </si>
  <si>
    <t>Department of Transportation,
Federal Highway Administration</t>
  </si>
  <si>
    <t>15-38</t>
  </si>
  <si>
    <t>Environmental Protection Agency,
Office of Water</t>
  </si>
  <si>
    <t>15-39</t>
  </si>
  <si>
    <t>15-40</t>
  </si>
  <si>
    <t>Federal Communications Commission</t>
  </si>
  <si>
    <t>Universal Service Fund E-Rate</t>
  </si>
  <si>
    <t/>
  </si>
  <si>
    <t>Department of Agriculture, Food and Nutrition Service</t>
  </si>
  <si>
    <t>12-3539-0-1-605</t>
  </si>
  <si>
    <t>Table 15-5. School Breakfast Program (10.553)</t>
  </si>
  <si>
    <t>(Obligations in thousands of dollars)</t>
  </si>
  <si>
    <t>State or Territory</t>
  </si>
  <si>
    <t>FY 2015 Actual</t>
  </si>
  <si>
    <t>Estimated FY 2016 obligations from:</t>
  </si>
  <si>
    <t>FY 2017 (estimated)</t>
  </si>
  <si>
    <t>FY 2017 Percentage of distributed total</t>
  </si>
  <si>
    <t>Previous authority</t>
  </si>
  <si>
    <t>New Authority</t>
  </si>
  <si>
    <t>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</si>
  <si>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</si>
  <si>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</si>
  <si>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</si>
  <si>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</si>
  <si>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</si>
  <si>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</si>
  <si>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</si>
  <si>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</si>
  <si>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</si>
  <si>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</si>
  <si>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</si>
  <si>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</si>
  <si>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</si>
  <si>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</si>
  <si>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</si>
  <si>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</si>
  <si>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</si>
  <si>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</si>
  <si>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</si>
  <si>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</si>
  <si>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</si>
  <si>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</si>
  <si>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</si>
  <si>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</si>
  <si>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</si>
  <si>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</si>
  <si>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</si>
  <si>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</si>
  <si>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</si>
  <si>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</si>
  <si>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</si>
  <si>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</si>
  <si>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</si>
  <si>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</si>
  <si>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</si>
  <si>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</si>
  <si>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</si>
  <si>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</si>
  <si>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</si>
  <si>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</si>
  <si>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</si>
  <si>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</si>
  <si>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</si>
  <si>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</si>
  <si>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</si>
  <si>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</si>
  <si>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</si>
  <si>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</si>
  <si>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</si>
  <si>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</si>
  <si>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</si>
  <si>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American Samoa</t>
  </si>
  <si>
    <t>Guam</t>
  </si>
  <si>
    <t>Northern Mariana Islands</t>
  </si>
  <si>
    <t>Puerto Rico</t>
  </si>
  <si>
    <t>Freely Associated States</t>
  </si>
  <si>
    <t>Virgin Islands</t>
  </si>
  <si>
    <t>Indian Tribes</t>
  </si>
  <si>
    <t>Undistributed</t>
  </si>
  <si>
    <r>
      <t>1</t>
    </r>
    <r>
      <rPr>
        <b/>
        <sz val="10"/>
        <rFont val="Arial Narrow"/>
        <family val="2"/>
      </rPr>
      <t xml:space="preserve"> 100.00</t>
    </r>
  </si>
  <si>
    <t>* $500 or less or 0.005 percent or less.</t>
  </si>
  <si>
    <r>
      <t>1</t>
    </r>
    <r>
      <rPr>
        <sz val="10"/>
        <rFont val="Arial Narrow"/>
        <family val="2"/>
      </rPr>
      <t xml:space="preserve"> Excludes undistributed obligations.</t>
    </r>
  </si>
  <si>
    <t>Table 15-6. National School Lunch Program (10.555)</t>
  </si>
  <si>
    <t>12-3510-0-1-605</t>
  </si>
  <si>
    <t>Table 15-7. Special Supplemental Nutrition Program for Women, Infants, and Children (WIC) (10.557)</t>
  </si>
  <si>
    <t>Table 15-8. Child and Adult Care Food Program (10.558)</t>
  </si>
  <si>
    <t>12-3505-0-1-605</t>
  </si>
  <si>
    <t>Table 15-9. State Administrative Matching Grants for the Supplemental Nutrition Assistance Program (Food Stamps) (10.561)</t>
  </si>
  <si>
    <t>Department of Education, Office of Elementary and Secondary Education</t>
  </si>
  <si>
    <t>91-0900-0-1-501</t>
  </si>
  <si>
    <t>Table 15-10. Title I Grants to Local Educational Agencies (84.010)</t>
  </si>
  <si>
    <t>School Improvement Supplement</t>
  </si>
  <si>
    <t>91-1000-0-1-501</t>
  </si>
  <si>
    <t>Department of Education, Office of Special Education and Rehabilitative Services</t>
  </si>
  <si>
    <t>91-0300-0-1-501</t>
  </si>
  <si>
    <t>Table 15-12. Special Education-Grants to States (84.027)</t>
  </si>
  <si>
    <t>Other</t>
  </si>
  <si>
    <t>91-0301-0-1-506</t>
  </si>
  <si>
    <t>Table 15-13. Vocational Rehabilitation Grants (84.126)</t>
  </si>
  <si>
    <t>Department of Health and Human Services, Centers for Medicare and Medicaid Services</t>
  </si>
  <si>
    <t>75-0115-0-1-551</t>
  </si>
  <si>
    <t>Table 15-14. Affordable Insurance Exchange Grants (93.525)</t>
  </si>
  <si>
    <t>......</t>
  </si>
  <si>
    <t>75-0515-0-1-551</t>
  </si>
  <si>
    <t>Table 15-15. Children's Health Insurance Program (93.767)</t>
  </si>
  <si>
    <t>75-0512-0-1-551</t>
  </si>
  <si>
    <t>Table 15-16. Grants to States for Medicaid (93.778)</t>
  </si>
  <si>
    <r>
      <t>1</t>
    </r>
    <r>
      <rPr>
        <sz val="10"/>
        <rFont val="Arial Narrow"/>
        <family val="2"/>
      </rPr>
      <t xml:space="preserve"> 26,927,733</t>
    </r>
  </si>
  <si>
    <t>Survey &amp; Certification</t>
  </si>
  <si>
    <t>Fraud Control Units</t>
  </si>
  <si>
    <t>Vaccines for Children</t>
  </si>
  <si>
    <t>Medicare Part B Transfer</t>
  </si>
  <si>
    <t>Incurred But Not Reported</t>
  </si>
  <si>
    <r>
      <t>2</t>
    </r>
    <r>
      <rPr>
        <b/>
        <sz val="10"/>
        <rFont val="Arial Narrow"/>
        <family val="2"/>
      </rPr>
      <t xml:space="preserve"> 100.00</t>
    </r>
  </si>
  <si>
    <r>
      <t>2</t>
    </r>
    <r>
      <rPr>
        <sz val="10"/>
        <rFont val="Arial Narrow"/>
        <family val="2"/>
      </rPr>
      <t xml:space="preserve"> Excludes undistributed obligations.</t>
    </r>
  </si>
  <si>
    <t>Department of Health and Human Services, Administration for Children and Families</t>
  </si>
  <si>
    <t>75-1552-0-1-609</t>
  </si>
  <si>
    <t>Table 15-17. Temporary Assistance for Needy Families (TANF)-Family Assistance Grants (93.558)</t>
  </si>
  <si>
    <t>Migrant Program</t>
  </si>
  <si>
    <t>Marshall Islands</t>
  </si>
  <si>
    <t>Palau</t>
  </si>
  <si>
    <t>Training and Technical Assistance</t>
  </si>
  <si>
    <t>Discretionary Funds</t>
  </si>
  <si>
    <t>Other - Additional Block Grant Funding</t>
  </si>
  <si>
    <t>75-1501-0-1-609</t>
  </si>
  <si>
    <t>Table 15-18. Child Support Enforcement-Federal Share of State and Local Administrative Costs and Incentives (93.563)</t>
  </si>
  <si>
    <t>75-1502-0-1-609</t>
  </si>
  <si>
    <t>Table 15-19. Low Income Home Energy Assistance Program (93.568)</t>
  </si>
  <si>
    <t>75-1515-0-1-609</t>
  </si>
  <si>
    <t>Table 15-20. Child Care and Development Block Grant (93.575)</t>
  </si>
  <si>
    <t>75-1550-0-1-609</t>
  </si>
  <si>
    <t>Table 15-21. Child Care and Development Fund-Mandatory (93.596A)</t>
  </si>
  <si>
    <r>
      <t>2</t>
    </r>
    <r>
      <rPr>
        <sz val="10"/>
        <rFont val="Arial Narrow"/>
        <family val="2"/>
      </rPr>
      <t xml:space="preserve"> 131,637</t>
    </r>
  </si>
  <si>
    <r>
      <t>3</t>
    </r>
    <r>
      <rPr>
        <b/>
        <sz val="10"/>
        <rFont val="Arial Narrow"/>
        <family val="2"/>
      </rPr>
      <t xml:space="preserve"> 100.00</t>
    </r>
  </si>
  <si>
    <r>
      <t>3</t>
    </r>
    <r>
      <rPr>
        <sz val="10"/>
        <rFont val="Arial Narrow"/>
        <family val="2"/>
      </rPr>
      <t xml:space="preserve"> Excludes undistributed obligations.</t>
    </r>
  </si>
  <si>
    <t>Table 15-22. Child Care and Development Fund-Matching (93.596B)</t>
  </si>
  <si>
    <t>75-1536-0-1-506</t>
  </si>
  <si>
    <t>Table 15-23. Head Start (93.600)</t>
  </si>
  <si>
    <t>75-1545-0-1-609</t>
  </si>
  <si>
    <t>Table 15-24. Foster Care-Title IV-E (93.658)</t>
  </si>
  <si>
    <t>Table 15-25. Adoption Assistance (93.659)</t>
  </si>
  <si>
    <t>75.1534-0-1-506</t>
  </si>
  <si>
    <t>Table 15-26. Social Services Block Grant (93.667)</t>
  </si>
  <si>
    <t>Other - Upward Mobility Project</t>
  </si>
  <si>
    <t>Department of Health and Human Services, Health Resources and Services Administration</t>
  </si>
  <si>
    <t>75-0350-0-1-550</t>
  </si>
  <si>
    <t>Table 15-27. Ryan White HIV/AIDS Treatment Modernization Act-Part B HIV Care Grants (93.917)</t>
  </si>
  <si>
    <r>
      <t>1</t>
    </r>
    <r>
      <rPr>
        <sz val="10"/>
        <rFont val="Arial Narrow"/>
        <family val="2"/>
      </rPr>
      <t xml:space="preserve"> 1,315,005</t>
    </r>
  </si>
  <si>
    <r>
      <t>2</t>
    </r>
    <r>
      <rPr>
        <sz val="10"/>
        <rFont val="Arial Narrow"/>
        <family val="2"/>
      </rPr>
      <t xml:space="preserve"> 1,315,005</t>
    </r>
  </si>
  <si>
    <r>
      <t>1</t>
    </r>
    <r>
      <rPr>
        <sz val="10"/>
        <rFont val="Arial Narrow"/>
        <family val="2"/>
      </rPr>
      <t xml:space="preserve"> FY 2016 data for each state and territory is not available.</t>
    </r>
  </si>
  <si>
    <r>
      <t>2</t>
    </r>
    <r>
      <rPr>
        <sz val="10"/>
        <rFont val="Arial Narrow"/>
        <family val="2"/>
      </rPr>
      <t xml:space="preserve"> FY 2017 data for each state and territory is not available.</t>
    </r>
  </si>
  <si>
    <t>Department of Homeland Security, Federal Emergency Management Agency</t>
  </si>
  <si>
    <t>70-0560-0-1-999 et al</t>
  </si>
  <si>
    <t>Table 15-28. FEMA State and Local Programs (97.067 et al)</t>
  </si>
  <si>
    <r>
      <t>1</t>
    </r>
    <r>
      <rPr>
        <sz val="10"/>
        <rFont val="Arial Narrow"/>
        <family val="2"/>
      </rPr>
      <t xml:space="preserve"> 28,350</t>
    </r>
  </si>
  <si>
    <r>
      <t>2</t>
    </r>
    <r>
      <rPr>
        <sz val="10"/>
        <rFont val="Arial Narrow"/>
        <family val="2"/>
      </rPr>
      <t xml:space="preserve"> 9,704</t>
    </r>
  </si>
  <si>
    <r>
      <t>3</t>
    </r>
    <r>
      <rPr>
        <sz val="10"/>
        <rFont val="Arial Narrow"/>
        <family val="2"/>
      </rPr>
      <t xml:space="preserve"> 59,523</t>
    </r>
  </si>
  <si>
    <r>
      <t>4</t>
    </r>
    <r>
      <rPr>
        <sz val="10"/>
        <rFont val="Arial Narrow"/>
        <family val="2"/>
      </rPr>
      <t xml:space="preserve"> 14,523</t>
    </r>
  </si>
  <si>
    <r>
      <t>5</t>
    </r>
    <r>
      <rPr>
        <sz val="10"/>
        <rFont val="Arial Narrow"/>
        <family val="2"/>
      </rPr>
      <t xml:space="preserve"> 308,821</t>
    </r>
  </si>
  <si>
    <r>
      <t>6</t>
    </r>
    <r>
      <rPr>
        <sz val="10"/>
        <rFont val="Arial Narrow"/>
        <family val="2"/>
      </rPr>
      <t xml:space="preserve"> 21,432</t>
    </r>
  </si>
  <si>
    <r>
      <t>7</t>
    </r>
    <r>
      <rPr>
        <sz val="10"/>
        <rFont val="Arial Narrow"/>
        <family val="2"/>
      </rPr>
      <t xml:space="preserve"> 16,187</t>
    </r>
  </si>
  <si>
    <r>
      <t>8</t>
    </r>
    <r>
      <rPr>
        <sz val="10"/>
        <rFont val="Arial Narrow"/>
        <family val="2"/>
      </rPr>
      <t xml:space="preserve"> 10,590</t>
    </r>
  </si>
  <si>
    <r>
      <t>9</t>
    </r>
    <r>
      <rPr>
        <sz val="10"/>
        <rFont val="Arial Narrow"/>
        <family val="2"/>
      </rPr>
      <t xml:space="preserve"> 76,007</t>
    </r>
  </si>
  <si>
    <r>
      <t>10</t>
    </r>
    <r>
      <rPr>
        <sz val="10"/>
        <rFont val="Arial Narrow"/>
        <family val="2"/>
      </rPr>
      <t xml:space="preserve"> 81,277</t>
    </r>
  </si>
  <si>
    <r>
      <t>11</t>
    </r>
    <r>
      <rPr>
        <sz val="10"/>
        <rFont val="Arial Narrow"/>
        <family val="2"/>
      </rPr>
      <t xml:space="preserve"> 34,135</t>
    </r>
  </si>
  <si>
    <r>
      <t>12</t>
    </r>
    <r>
      <rPr>
        <sz val="10"/>
        <rFont val="Arial Narrow"/>
        <family val="2"/>
      </rPr>
      <t xml:space="preserve"> 11,630</t>
    </r>
  </si>
  <si>
    <r>
      <t>13</t>
    </r>
    <r>
      <rPr>
        <sz val="10"/>
        <rFont val="Arial Narrow"/>
        <family val="2"/>
      </rPr>
      <t xml:space="preserve"> 10,088</t>
    </r>
  </si>
  <si>
    <r>
      <t>14</t>
    </r>
    <r>
      <rPr>
        <sz val="10"/>
        <rFont val="Arial Narrow"/>
        <family val="2"/>
      </rPr>
      <t xml:space="preserve"> 126,969</t>
    </r>
  </si>
  <si>
    <r>
      <t>15</t>
    </r>
    <r>
      <rPr>
        <sz val="10"/>
        <rFont val="Arial Narrow"/>
        <family val="2"/>
      </rPr>
      <t xml:space="preserve"> 25,620</t>
    </r>
  </si>
  <si>
    <r>
      <t>16</t>
    </r>
    <r>
      <rPr>
        <sz val="10"/>
        <rFont val="Arial Narrow"/>
        <family val="2"/>
      </rPr>
      <t xml:space="preserve"> 12,066</t>
    </r>
  </si>
  <si>
    <r>
      <t>17</t>
    </r>
    <r>
      <rPr>
        <sz val="10"/>
        <rFont val="Arial Narrow"/>
        <family val="2"/>
      </rPr>
      <t xml:space="preserve"> 10,838</t>
    </r>
  </si>
  <si>
    <r>
      <t>18</t>
    </r>
    <r>
      <rPr>
        <sz val="10"/>
        <rFont val="Arial Narrow"/>
        <family val="2"/>
      </rPr>
      <t xml:space="preserve"> 18,469</t>
    </r>
  </si>
  <si>
    <r>
      <t>19</t>
    </r>
    <r>
      <rPr>
        <sz val="10"/>
        <rFont val="Arial Narrow"/>
        <family val="2"/>
      </rPr>
      <t xml:space="preserve"> 20,136</t>
    </r>
  </si>
  <si>
    <r>
      <t>20</t>
    </r>
    <r>
      <rPr>
        <sz val="10"/>
        <rFont val="Arial Narrow"/>
        <family val="2"/>
      </rPr>
      <t xml:space="preserve"> 12,332</t>
    </r>
  </si>
  <si>
    <r>
      <t>21</t>
    </r>
    <r>
      <rPr>
        <sz val="10"/>
        <rFont val="Arial Narrow"/>
        <family val="2"/>
      </rPr>
      <t xml:space="preserve"> 47,110</t>
    </r>
  </si>
  <si>
    <r>
      <t>22</t>
    </r>
    <r>
      <rPr>
        <sz val="10"/>
        <rFont val="Arial Narrow"/>
        <family val="2"/>
      </rPr>
      <t xml:space="preserve"> 71,448</t>
    </r>
  </si>
  <si>
    <r>
      <t>23</t>
    </r>
    <r>
      <rPr>
        <sz val="10"/>
        <rFont val="Arial Narrow"/>
        <family val="2"/>
      </rPr>
      <t xml:space="preserve"> 48,733</t>
    </r>
  </si>
  <si>
    <r>
      <t>24</t>
    </r>
    <r>
      <rPr>
        <sz val="10"/>
        <rFont val="Arial Narrow"/>
        <family val="2"/>
      </rPr>
      <t xml:space="preserve"> 26,253</t>
    </r>
  </si>
  <si>
    <r>
      <t>25</t>
    </r>
    <r>
      <rPr>
        <sz val="10"/>
        <rFont val="Arial Narrow"/>
        <family val="2"/>
      </rPr>
      <t xml:space="preserve"> 14,953</t>
    </r>
  </si>
  <si>
    <r>
      <t>26</t>
    </r>
    <r>
      <rPr>
        <sz val="10"/>
        <rFont val="Arial Narrow"/>
        <family val="2"/>
      </rPr>
      <t xml:space="preserve"> 23,381</t>
    </r>
  </si>
  <si>
    <r>
      <t>27</t>
    </r>
    <r>
      <rPr>
        <sz val="10"/>
        <rFont val="Arial Narrow"/>
        <family val="2"/>
      </rPr>
      <t xml:space="preserve"> 10,333</t>
    </r>
  </si>
  <si>
    <r>
      <t>28</t>
    </r>
    <r>
      <rPr>
        <sz val="10"/>
        <rFont val="Arial Narrow"/>
        <family val="2"/>
      </rPr>
      <t xml:space="preserve"> 8,944</t>
    </r>
  </si>
  <si>
    <r>
      <t>29</t>
    </r>
    <r>
      <rPr>
        <sz val="10"/>
        <rFont val="Arial Narrow"/>
        <family val="2"/>
      </rPr>
      <t xml:space="preserve"> 16,583</t>
    </r>
  </si>
  <si>
    <r>
      <t>30</t>
    </r>
    <r>
      <rPr>
        <sz val="10"/>
        <rFont val="Arial Narrow"/>
        <family val="2"/>
      </rPr>
      <t xml:space="preserve"> 11,262</t>
    </r>
  </si>
  <si>
    <r>
      <t>31</t>
    </r>
    <r>
      <rPr>
        <sz val="10"/>
        <rFont val="Arial Narrow"/>
        <family val="2"/>
      </rPr>
      <t xml:space="preserve"> 129,602</t>
    </r>
  </si>
  <si>
    <r>
      <t>32</t>
    </r>
    <r>
      <rPr>
        <sz val="10"/>
        <rFont val="Arial Narrow"/>
        <family val="2"/>
      </rPr>
      <t xml:space="preserve"> 11,699</t>
    </r>
  </si>
  <si>
    <r>
      <t>33</t>
    </r>
    <r>
      <rPr>
        <sz val="10"/>
        <rFont val="Arial Narrow"/>
        <family val="2"/>
      </rPr>
      <t xml:space="preserve"> 351,148</t>
    </r>
  </si>
  <si>
    <r>
      <t>34</t>
    </r>
    <r>
      <rPr>
        <sz val="10"/>
        <rFont val="Arial Narrow"/>
        <family val="2"/>
      </rPr>
      <t xml:space="preserve"> 38,851</t>
    </r>
  </si>
  <si>
    <r>
      <t>35</t>
    </r>
    <r>
      <rPr>
        <sz val="10"/>
        <rFont val="Arial Narrow"/>
        <family val="2"/>
      </rPr>
      <t xml:space="preserve"> 8,410</t>
    </r>
  </si>
  <si>
    <r>
      <t>36</t>
    </r>
    <r>
      <rPr>
        <sz val="10"/>
        <rFont val="Arial Narrow"/>
        <family val="2"/>
      </rPr>
      <t xml:space="preserve"> 56,248</t>
    </r>
  </si>
  <si>
    <r>
      <t>37</t>
    </r>
    <r>
      <rPr>
        <sz val="10"/>
        <rFont val="Arial Narrow"/>
        <family val="2"/>
      </rPr>
      <t xml:space="preserve"> 13,768</t>
    </r>
  </si>
  <si>
    <r>
      <t>38</t>
    </r>
    <r>
      <rPr>
        <sz val="10"/>
        <rFont val="Arial Narrow"/>
        <family val="2"/>
      </rPr>
      <t xml:space="preserve"> 23,360</t>
    </r>
  </si>
  <si>
    <r>
      <t>39</t>
    </r>
    <r>
      <rPr>
        <sz val="10"/>
        <rFont val="Arial Narrow"/>
        <family val="2"/>
      </rPr>
      <t xml:space="preserve"> 100,860</t>
    </r>
  </si>
  <si>
    <r>
      <t>40</t>
    </r>
    <r>
      <rPr>
        <sz val="10"/>
        <rFont val="Arial Narrow"/>
        <family val="2"/>
      </rPr>
      <t xml:space="preserve"> 12,083</t>
    </r>
  </si>
  <si>
    <r>
      <t>41</t>
    </r>
    <r>
      <rPr>
        <sz val="10"/>
        <rFont val="Arial Narrow"/>
        <family val="2"/>
      </rPr>
      <t xml:space="preserve"> 20,341</t>
    </r>
  </si>
  <si>
    <r>
      <t>42</t>
    </r>
    <r>
      <rPr>
        <sz val="10"/>
        <rFont val="Arial Narrow"/>
        <family val="2"/>
      </rPr>
      <t xml:space="preserve"> 8,805</t>
    </r>
  </si>
  <si>
    <r>
      <t>43</t>
    </r>
    <r>
      <rPr>
        <sz val="10"/>
        <rFont val="Arial Narrow"/>
        <family val="2"/>
      </rPr>
      <t xml:space="preserve"> 21,349</t>
    </r>
  </si>
  <si>
    <r>
      <t>44</t>
    </r>
    <r>
      <rPr>
        <sz val="10"/>
        <rFont val="Arial Narrow"/>
        <family val="2"/>
      </rPr>
      <t xml:space="preserve"> 135,767</t>
    </r>
  </si>
  <si>
    <r>
      <t>45</t>
    </r>
    <r>
      <rPr>
        <sz val="10"/>
        <rFont val="Arial Narrow"/>
        <family val="2"/>
      </rPr>
      <t xml:space="preserve"> 9,571</t>
    </r>
  </si>
  <si>
    <r>
      <t>46</t>
    </r>
    <r>
      <rPr>
        <sz val="10"/>
        <rFont val="Arial Narrow"/>
        <family val="2"/>
      </rPr>
      <t xml:space="preserve"> 7,793</t>
    </r>
  </si>
  <si>
    <r>
      <t>47</t>
    </r>
    <r>
      <rPr>
        <sz val="10"/>
        <rFont val="Arial Narrow"/>
        <family val="2"/>
      </rPr>
      <t xml:space="preserve"> 41,110</t>
    </r>
  </si>
  <si>
    <r>
      <t>48</t>
    </r>
    <r>
      <rPr>
        <sz val="10"/>
        <rFont val="Arial Narrow"/>
        <family val="2"/>
      </rPr>
      <t xml:space="preserve"> 50,067</t>
    </r>
  </si>
  <si>
    <r>
      <t>49</t>
    </r>
    <r>
      <rPr>
        <sz val="10"/>
        <rFont val="Arial Narrow"/>
        <family val="2"/>
      </rPr>
      <t xml:space="preserve"> 16,732</t>
    </r>
  </si>
  <si>
    <r>
      <t>50</t>
    </r>
    <r>
      <rPr>
        <sz val="10"/>
        <rFont val="Arial Narrow"/>
        <family val="2"/>
      </rPr>
      <t xml:space="preserve"> 16,150</t>
    </r>
  </si>
  <si>
    <r>
      <t>51</t>
    </r>
    <r>
      <rPr>
        <sz val="10"/>
        <rFont val="Arial Narrow"/>
        <family val="2"/>
      </rPr>
      <t xml:space="preserve"> 6,999</t>
    </r>
  </si>
  <si>
    <r>
      <t>52</t>
    </r>
    <r>
      <rPr>
        <sz val="10"/>
        <rFont val="Arial Narrow"/>
        <family val="2"/>
      </rPr>
      <t xml:space="preserve"> 1,764</t>
    </r>
  </si>
  <si>
    <r>
      <t>53</t>
    </r>
    <r>
      <rPr>
        <sz val="10"/>
        <rFont val="Arial Narrow"/>
        <family val="2"/>
      </rPr>
      <t xml:space="preserve"> 2,330</t>
    </r>
  </si>
  <si>
    <r>
      <t>54</t>
    </r>
    <r>
      <rPr>
        <sz val="10"/>
        <rFont val="Arial Narrow"/>
        <family val="2"/>
      </rPr>
      <t xml:space="preserve"> 1,762</t>
    </r>
  </si>
  <si>
    <r>
      <t>55</t>
    </r>
    <r>
      <rPr>
        <sz val="10"/>
        <rFont val="Arial Narrow"/>
        <family val="2"/>
      </rPr>
      <t xml:space="preserve"> 10,452</t>
    </r>
  </si>
  <si>
    <r>
      <t>56</t>
    </r>
    <r>
      <rPr>
        <sz val="10"/>
        <rFont val="Arial Narrow"/>
        <family val="2"/>
      </rPr>
      <t xml:space="preserve"> 100</t>
    </r>
  </si>
  <si>
    <r>
      <t>57</t>
    </r>
    <r>
      <rPr>
        <sz val="10"/>
        <rFont val="Arial Narrow"/>
        <family val="2"/>
      </rPr>
      <t xml:space="preserve"> 2,267</t>
    </r>
  </si>
  <si>
    <r>
      <t>1</t>
    </r>
    <r>
      <rPr>
        <sz val="10"/>
        <rFont val="Arial Narrow"/>
        <family val="2"/>
      </rPr>
      <t xml:space="preserve"> CFDA 97.042, 97.044, 97.056, 97.067, 97.075 and 97.083.</t>
    </r>
  </si>
  <si>
    <r>
      <t>3</t>
    </r>
    <r>
      <rPr>
        <sz val="10"/>
        <rFont val="Arial Narrow"/>
        <family val="2"/>
      </rPr>
      <t xml:space="preserve"> CFDA 97.008, 97.042, 97.044, 97.067, 97.075, and 97.083.</t>
    </r>
  </si>
  <si>
    <r>
      <t>4</t>
    </r>
    <r>
      <rPr>
        <sz val="10"/>
        <rFont val="Arial Narrow"/>
        <family val="2"/>
      </rPr>
      <t xml:space="preserve"> CFDA 97.042, 97.044, 97.056, 97.067, 97.075, and 97.083.</t>
    </r>
  </si>
  <si>
    <r>
      <t>5</t>
    </r>
    <r>
      <rPr>
        <sz val="10"/>
        <rFont val="Arial Narrow"/>
        <family val="2"/>
      </rPr>
      <t xml:space="preserve"> CFDA 97.008, 97.042, 97.044, 97.056, 97.067, 97.075, and 97.083.</t>
    </r>
  </si>
  <si>
    <r>
      <t>6</t>
    </r>
    <r>
      <rPr>
        <sz val="10"/>
        <rFont val="Arial Narrow"/>
        <family val="2"/>
      </rPr>
      <t xml:space="preserve"> CFDA 97.008, 97.042, 97.044, 97.067, 97.075, and 97.083.</t>
    </r>
  </si>
  <si>
    <r>
      <t>7</t>
    </r>
    <r>
      <rPr>
        <sz val="10"/>
        <rFont val="Arial Narrow"/>
        <family val="2"/>
      </rPr>
      <t xml:space="preserve"> CFDA 97.042, 97.044, 97.056, and 97.067.</t>
    </r>
  </si>
  <si>
    <r>
      <t>8</t>
    </r>
    <r>
      <rPr>
        <sz val="10"/>
        <rFont val="Arial Narrow"/>
        <family val="2"/>
      </rPr>
      <t xml:space="preserve"> CFDA 97.042, 97.044, 97.056, and 97.067.</t>
    </r>
  </si>
  <si>
    <r>
      <t>9</t>
    </r>
    <r>
      <rPr>
        <sz val="10"/>
        <rFont val="Arial Narrow"/>
        <family val="2"/>
      </rPr>
      <t xml:space="preserve"> CFDA 97.008, 97.042, 97.044, 97.067, 97.075, and 97.083.</t>
    </r>
  </si>
  <si>
    <r>
      <t>10</t>
    </r>
    <r>
      <rPr>
        <sz val="10"/>
        <rFont val="Arial Narrow"/>
        <family val="2"/>
      </rPr>
      <t xml:space="preserve"> CFDA 97.042, 97.044, 97.056, 97.067, 97.075 and 97.083.</t>
    </r>
  </si>
  <si>
    <r>
      <t>11</t>
    </r>
    <r>
      <rPr>
        <sz val="10"/>
        <rFont val="Arial Narrow"/>
        <family val="2"/>
      </rPr>
      <t xml:space="preserve"> CFDA 97.042, 97.044, 97.056, 97.067, 97.075 and 97.083.</t>
    </r>
  </si>
  <si>
    <r>
      <t>12</t>
    </r>
    <r>
      <rPr>
        <sz val="10"/>
        <rFont val="Arial Narrow"/>
        <family val="2"/>
      </rPr>
      <t xml:space="preserve"> CFDA 97.042, 97.044, 97.056, 97.067, and 97.083</t>
    </r>
  </si>
  <si>
    <r>
      <t>13</t>
    </r>
    <r>
      <rPr>
        <sz val="10"/>
        <rFont val="Arial Narrow"/>
        <family val="2"/>
      </rPr>
      <t xml:space="preserve"> CFDA 97.042, 97.044, 97.067.</t>
    </r>
  </si>
  <si>
    <r>
      <t>14</t>
    </r>
    <r>
      <rPr>
        <sz val="10"/>
        <rFont val="Arial Narrow"/>
        <family val="2"/>
      </rPr>
      <t xml:space="preserve"> CFDA 97.008, 97.042, 97.044, 97.056, 97.067, 97.075, and 97.083.</t>
    </r>
  </si>
  <si>
    <r>
      <t>15</t>
    </r>
    <r>
      <rPr>
        <sz val="10"/>
        <rFont val="Arial Narrow"/>
        <family val="2"/>
      </rPr>
      <t xml:space="preserve"> CFDA 97.042, 97.044, 97.056, 97.067, 97.075, and 97.083.</t>
    </r>
  </si>
  <si>
    <r>
      <t>16</t>
    </r>
    <r>
      <rPr>
        <sz val="10"/>
        <rFont val="Arial Narrow"/>
        <family val="2"/>
      </rPr>
      <t xml:space="preserve"> CFDA 97.042, 97.044, 97.067, 97.075, and 97.083.</t>
    </r>
  </si>
  <si>
    <r>
      <t>17</t>
    </r>
    <r>
      <rPr>
        <sz val="10"/>
        <rFont val="Arial Narrow"/>
        <family val="2"/>
      </rPr>
      <t xml:space="preserve"> CFDA 97.008, 97.042, 97.044, 97.067, 97.075.</t>
    </r>
  </si>
  <si>
    <r>
      <t>18</t>
    </r>
    <r>
      <rPr>
        <sz val="10"/>
        <rFont val="Arial Narrow"/>
        <family val="2"/>
      </rPr>
      <t xml:space="preserve"> CFDA 97.042, 97.044, 97.056, 97.067, 97.075, and 97.083.</t>
    </r>
  </si>
  <si>
    <r>
      <t>19</t>
    </r>
    <r>
      <rPr>
        <sz val="10"/>
        <rFont val="Arial Narrow"/>
        <family val="2"/>
      </rPr>
      <t xml:space="preserve"> CFDA 97.042, 97.044, 97.056, 97.067, 97.075, and 97.083.</t>
    </r>
  </si>
  <si>
    <r>
      <t>20</t>
    </r>
    <r>
      <rPr>
        <sz val="10"/>
        <rFont val="Arial Narrow"/>
        <family val="2"/>
      </rPr>
      <t xml:space="preserve"> CFDA 97.042, 97.044, 97.056, 97.067, and 97.083.</t>
    </r>
  </si>
  <si>
    <r>
      <t>21</t>
    </r>
    <r>
      <rPr>
        <sz val="10"/>
        <rFont val="Arial Narrow"/>
        <family val="2"/>
      </rPr>
      <t xml:space="preserve"> CFDA 97.008, 97.042, 97.044, 97.056, 97.067, 97.075, and 97.083.</t>
    </r>
  </si>
  <si>
    <r>
      <t>22</t>
    </r>
    <r>
      <rPr>
        <sz val="10"/>
        <rFont val="Arial Narrow"/>
        <family val="2"/>
      </rPr>
      <t xml:space="preserve"> CFDA 97.042, 97.044, 97.056, 97.067, and 97.083</t>
    </r>
  </si>
  <si>
    <r>
      <t>23</t>
    </r>
    <r>
      <rPr>
        <sz val="10"/>
        <rFont val="Arial Narrow"/>
        <family val="2"/>
      </rPr>
      <t xml:space="preserve"> CFDA 97.008, 97.042, 97.044, 97.056, 97.067, 97.075, and 97.083.</t>
    </r>
  </si>
  <si>
    <r>
      <t>24</t>
    </r>
    <r>
      <rPr>
        <sz val="10"/>
        <rFont val="Arial Narrow"/>
        <family val="2"/>
      </rPr>
      <t xml:space="preserve"> CFDA 97.008, 97.042, 97.044, 97.056, 97.067, 97.075, and 97.083.</t>
    </r>
  </si>
  <si>
    <r>
      <t>25</t>
    </r>
    <r>
      <rPr>
        <sz val="10"/>
        <rFont val="Arial Narrow"/>
        <family val="2"/>
      </rPr>
      <t xml:space="preserve"> CFDA 97.042, 97.044, 97.056, 97.067, and 97.083.</t>
    </r>
  </si>
  <si>
    <r>
      <t>26</t>
    </r>
    <r>
      <rPr>
        <sz val="10"/>
        <rFont val="Arial Narrow"/>
        <family val="2"/>
      </rPr>
      <t xml:space="preserve"> CFDA 97.008, 97.042, 97.044, 97.056, 97.067, 97.075, and 97.083.</t>
    </r>
  </si>
  <si>
    <r>
      <t>27</t>
    </r>
    <r>
      <rPr>
        <sz val="10"/>
        <rFont val="Arial Narrow"/>
        <family val="2"/>
      </rPr>
      <t xml:space="preserve"> CFDA 97.042, 97.044, 97.067, and 97.083.</t>
    </r>
  </si>
  <si>
    <r>
      <t>28</t>
    </r>
    <r>
      <rPr>
        <sz val="10"/>
        <rFont val="Arial Narrow"/>
        <family val="2"/>
      </rPr>
      <t xml:space="preserve"> CFDA 97.008, 97.042, 97.044, 97.067</t>
    </r>
  </si>
  <si>
    <r>
      <t>29</t>
    </r>
    <r>
      <rPr>
        <sz val="10"/>
        <rFont val="Arial Narrow"/>
        <family val="2"/>
      </rPr>
      <t xml:space="preserve"> CFDA 97.008, 97.042, 97.044, 97.067, 97.075, and 97.083.</t>
    </r>
  </si>
  <si>
    <r>
      <t>30</t>
    </r>
    <r>
      <rPr>
        <sz val="10"/>
        <rFont val="Arial Narrow"/>
        <family val="2"/>
      </rPr>
      <t xml:space="preserve"> CFDA 97.042, 97.044, 97.056, 97.067, 97.075, and 97.083.</t>
    </r>
  </si>
  <si>
    <r>
      <t>31</t>
    </r>
    <r>
      <rPr>
        <sz val="10"/>
        <rFont val="Arial Narrow"/>
        <family val="2"/>
      </rPr>
      <t xml:space="preserve"> CFDA 97.008, 97.042, 97.044, 97.056, 97.067, 97.075, and 97.083.</t>
    </r>
  </si>
  <si>
    <r>
      <t>32</t>
    </r>
    <r>
      <rPr>
        <sz val="10"/>
        <rFont val="Arial Narrow"/>
        <family val="2"/>
      </rPr>
      <t xml:space="preserve"> CFDA 97.042, 97.044, 97.056, 97.067, 97.075, and 97.083.</t>
    </r>
  </si>
  <si>
    <r>
      <t>33</t>
    </r>
    <r>
      <rPr>
        <sz val="10"/>
        <rFont val="Arial Narrow"/>
        <family val="2"/>
      </rPr>
      <t xml:space="preserve"> CFDA 97.008, 97.042, 97.044, 97.056, 97.067, 97.075, and 97.083.</t>
    </r>
  </si>
  <si>
    <r>
      <t>34</t>
    </r>
    <r>
      <rPr>
        <sz val="10"/>
        <rFont val="Arial Narrow"/>
        <family val="2"/>
      </rPr>
      <t xml:space="preserve"> CFDA 97.008, 97.042, 97.044, 97.056, 97.067, 97.075, and 97.083.</t>
    </r>
  </si>
  <si>
    <r>
      <t>35</t>
    </r>
    <r>
      <rPr>
        <sz val="10"/>
        <rFont val="Arial Narrow"/>
        <family val="2"/>
      </rPr>
      <t xml:space="preserve"> CFDA 97.042, 97.044, and 97.067.</t>
    </r>
  </si>
  <si>
    <r>
      <t>36</t>
    </r>
    <r>
      <rPr>
        <sz val="10"/>
        <rFont val="Arial Narrow"/>
        <family val="2"/>
      </rPr>
      <t xml:space="preserve"> CFDA 97.042, 97.044, 97.056, 97.067, and 97.083.</t>
    </r>
  </si>
  <si>
    <r>
      <t>37</t>
    </r>
    <r>
      <rPr>
        <sz val="10"/>
        <rFont val="Arial Narrow"/>
        <family val="2"/>
      </rPr>
      <t xml:space="preserve"> CFDA 97.042, 97.044, 97.056, 97.067, and 97.083.</t>
    </r>
  </si>
  <si>
    <r>
      <t>38</t>
    </r>
    <r>
      <rPr>
        <sz val="10"/>
        <rFont val="Arial Narrow"/>
        <family val="2"/>
      </rPr>
      <t xml:space="preserve"> CFDA 97.008, 97.042, 97.044, 97.056, 97.067, 97.075, and 97.083.</t>
    </r>
  </si>
  <si>
    <r>
      <t>39</t>
    </r>
    <r>
      <rPr>
        <sz val="10"/>
        <rFont val="Arial Narrow"/>
        <family val="2"/>
      </rPr>
      <t xml:space="preserve"> CFDA 97.008, 97.042, 97.044, 97.056, 97.067, 97.075, and 97.083.</t>
    </r>
  </si>
  <si>
    <r>
      <t>40</t>
    </r>
    <r>
      <rPr>
        <sz val="10"/>
        <rFont val="Arial Narrow"/>
        <family val="2"/>
      </rPr>
      <t xml:space="preserve"> CFDA 97.042, 97.044, 97.056, 97.067, and 97.083.</t>
    </r>
  </si>
  <si>
    <r>
      <t>41</t>
    </r>
    <r>
      <rPr>
        <sz val="10"/>
        <rFont val="Arial Narrow"/>
        <family val="2"/>
      </rPr>
      <t xml:space="preserve"> CFDA 97.042, 97.044, 97.056, 97.067, and 97.083.</t>
    </r>
  </si>
  <si>
    <r>
      <t>42</t>
    </r>
    <r>
      <rPr>
        <sz val="10"/>
        <rFont val="Arial Narrow"/>
        <family val="2"/>
      </rPr>
      <t xml:space="preserve"> CFDA 97.042, 97.044, 97.067, and 97.083.</t>
    </r>
  </si>
  <si>
    <r>
      <t>43</t>
    </r>
    <r>
      <rPr>
        <sz val="10"/>
        <rFont val="Arial Narrow"/>
        <family val="2"/>
      </rPr>
      <t xml:space="preserve"> CFDA 97.042, 97.044, 97.056, 97.067, and 97.083.</t>
    </r>
  </si>
  <si>
    <r>
      <t>44</t>
    </r>
    <r>
      <rPr>
        <sz val="10"/>
        <rFont val="Arial Narrow"/>
        <family val="2"/>
      </rPr>
      <t xml:space="preserve"> CFDA 97.008, 97.042, 97.044, 97.056, 97.067, 97.075, and 97.083.</t>
    </r>
  </si>
  <si>
    <r>
      <t>45</t>
    </r>
    <r>
      <rPr>
        <sz val="10"/>
        <rFont val="Arial Narrow"/>
        <family val="2"/>
      </rPr>
      <t xml:space="preserve"> CFDA 97.042, 97.044, and 97.067.</t>
    </r>
  </si>
  <si>
    <r>
      <t>46</t>
    </r>
    <r>
      <rPr>
        <sz val="10"/>
        <rFont val="Arial Narrow"/>
        <family val="2"/>
      </rPr>
      <t xml:space="preserve"> CFDA 97.042, 97.044, and 97.067.</t>
    </r>
  </si>
  <si>
    <r>
      <t>47</t>
    </r>
    <r>
      <rPr>
        <sz val="10"/>
        <rFont val="Arial Narrow"/>
        <family val="2"/>
      </rPr>
      <t xml:space="preserve"> CFDA 97.042, 97.044, 97.056, 97.067, 97.075, and 97.083.</t>
    </r>
  </si>
  <si>
    <r>
      <t>48</t>
    </r>
    <r>
      <rPr>
        <sz val="10"/>
        <rFont val="Arial Narrow"/>
        <family val="2"/>
      </rPr>
      <t xml:space="preserve"> CFDA 97.008, 97.042, 97.044, 97.056, 97.067, 97.075, and 97.083.</t>
    </r>
  </si>
  <si>
    <r>
      <t>49</t>
    </r>
    <r>
      <rPr>
        <sz val="10"/>
        <rFont val="Arial Narrow"/>
        <family val="2"/>
      </rPr>
      <t xml:space="preserve"> CFDA 97.042, 97.044, 97.056, 97.067, and 97.083.</t>
    </r>
  </si>
  <si>
    <r>
      <t>50</t>
    </r>
    <r>
      <rPr>
        <sz val="10"/>
        <rFont val="Arial Narrow"/>
        <family val="2"/>
      </rPr>
      <t xml:space="preserve"> CFDA 97.042, 97.044, 97.056, 97.067, 97.075, and 97.083.</t>
    </r>
  </si>
  <si>
    <r>
      <t>51</t>
    </r>
    <r>
      <rPr>
        <sz val="10"/>
        <rFont val="Arial Narrow"/>
        <family val="2"/>
      </rPr>
      <t xml:space="preserve"> CFDA 97.042, 97.044, 97.067</t>
    </r>
  </si>
  <si>
    <r>
      <t>52</t>
    </r>
    <r>
      <rPr>
        <sz val="10"/>
        <rFont val="Arial Narrow"/>
        <family val="2"/>
      </rPr>
      <t xml:space="preserve"> CFDA 97.042, 97.067</t>
    </r>
  </si>
  <si>
    <r>
      <t>53</t>
    </r>
    <r>
      <rPr>
        <sz val="10"/>
        <rFont val="Arial Narrow"/>
        <family val="2"/>
      </rPr>
      <t xml:space="preserve"> CFDA 97.042, 97.056, 97.067</t>
    </r>
  </si>
  <si>
    <r>
      <t>54</t>
    </r>
    <r>
      <rPr>
        <sz val="10"/>
        <rFont val="Arial Narrow"/>
        <family val="2"/>
      </rPr>
      <t xml:space="preserve"> CFDA 97.042, 97.067</t>
    </r>
  </si>
  <si>
    <r>
      <t>55</t>
    </r>
    <r>
      <rPr>
        <sz val="10"/>
        <rFont val="Arial Narrow"/>
        <family val="2"/>
      </rPr>
      <t xml:space="preserve"> CFDA 97.042, 97.044, 97.056, 97.067</t>
    </r>
  </si>
  <si>
    <r>
      <t>56</t>
    </r>
    <r>
      <rPr>
        <sz val="10"/>
        <rFont val="Arial Narrow"/>
        <family val="2"/>
      </rPr>
      <t xml:space="preserve"> CFDA 97.042</t>
    </r>
  </si>
  <si>
    <r>
      <t>57</t>
    </r>
    <r>
      <rPr>
        <sz val="10"/>
        <rFont val="Arial Narrow"/>
        <family val="2"/>
      </rPr>
      <t xml:space="preserve"> CFDA 97.042, 97.056, 97.067</t>
    </r>
  </si>
  <si>
    <t>Department of Housing and Urban Development, Public and Indian Housing Programs</t>
  </si>
  <si>
    <t>86-0163-0-1-604</t>
  </si>
  <si>
    <t>Table 15-29. Public Housing Operating Fund (14.850)</t>
  </si>
  <si>
    <t>86-0302-0-1-604</t>
  </si>
  <si>
    <t>Table 15-30. Section 8 Housing Choice Vouchers (14.871)</t>
  </si>
  <si>
    <r>
      <t>1</t>
    </r>
    <r>
      <rPr>
        <sz val="10"/>
        <rFont val="Arial Narrow"/>
        <family val="2"/>
      </rPr>
      <t xml:space="preserve"> 77,000</t>
    </r>
  </si>
  <si>
    <r>
      <t>2</t>
    </r>
    <r>
      <rPr>
        <sz val="10"/>
        <rFont val="Arial Narrow"/>
        <family val="2"/>
      </rPr>
      <t xml:space="preserve"> 312,000</t>
    </r>
  </si>
  <si>
    <r>
      <t>3</t>
    </r>
    <r>
      <rPr>
        <sz val="10"/>
        <rFont val="Arial Narrow"/>
        <family val="2"/>
      </rPr>
      <t xml:space="preserve"> 434,000</t>
    </r>
  </si>
  <si>
    <r>
      <t>4</t>
    </r>
    <r>
      <rPr>
        <b/>
        <sz val="10"/>
        <rFont val="Arial Narrow"/>
        <family val="2"/>
      </rPr>
      <t xml:space="preserve"> 100.00</t>
    </r>
  </si>
  <si>
    <r>
      <t>1</t>
    </r>
    <r>
      <rPr>
        <sz val="10"/>
        <rFont val="Arial Narrow"/>
        <family val="2"/>
      </rPr>
      <t xml:space="preserve"> Includes oblitgations for Tenant Protection Vouchers, Rental Assistance Demonstration conversions, and HUD-VASH.</t>
    </r>
  </si>
  <si>
    <r>
      <t>2</t>
    </r>
    <r>
      <rPr>
        <sz val="10"/>
        <rFont val="Arial Narrow"/>
        <family val="2"/>
      </rPr>
      <t xml:space="preserve"> Includes obligations for the Contract Renewal Set-Aside, Administrative Fee Set-Aside, Tenant Protection Vouchers, HUD-VASH, and Rental Assistance Demonstration conversions.</t>
    </r>
  </si>
  <si>
    <r>
      <t>3</t>
    </r>
    <r>
      <rPr>
        <sz val="10"/>
        <rFont val="Arial Narrow"/>
        <family val="2"/>
      </rPr>
      <t xml:space="preserve"> Includes obligations for the Contract Renewal Set-Aside, Administrative Fee Set-Aside, Tenant Protection Vouchers, Tribal HUD-VASH, Rental Assistance Demonstration conversions, Special Purpose Vouchers for Homeless Families, and Mobility Demonstration.</t>
    </r>
  </si>
  <si>
    <r>
      <t>4</t>
    </r>
    <r>
      <rPr>
        <sz val="10"/>
        <rFont val="Arial Narrow"/>
        <family val="2"/>
      </rPr>
      <t xml:space="preserve"> Excludes undistributed obligations.</t>
    </r>
  </si>
  <si>
    <t>86-0304-0-1-604</t>
  </si>
  <si>
    <t>Table 15-31. Public Housing Capital Fund (14.872)</t>
  </si>
  <si>
    <t>Department of Housing and Urban Development, Community Planning and Development</t>
  </si>
  <si>
    <t>86-0162-0-1-451</t>
  </si>
  <si>
    <t>Table 15-32. Community Development Block Grant (14.218; 14.225; 14.228; 14.862)</t>
  </si>
  <si>
    <t>Table 15-33. Community Development Block Grant - Disaster Recovery (14.218; 14.228; 14.269)</t>
  </si>
  <si>
    <t>Department of Labor, Employment and Training Administration</t>
  </si>
  <si>
    <t>16-0179-0-1-603</t>
  </si>
  <si>
    <t>Table 15-34. Unemployment Insurance (17.225)</t>
  </si>
  <si>
    <t>HHS</t>
  </si>
  <si>
    <t>NASWA</t>
  </si>
  <si>
    <t>Department of Transportation, Federal Transit Administration</t>
  </si>
  <si>
    <t>69-8350-0-7-401</t>
  </si>
  <si>
    <t>Table 15-35. Transit Formula Grants Programs (20.507)</t>
  </si>
  <si>
    <t>Climate infrastructure Initiative (Transit Formula Grants)</t>
  </si>
  <si>
    <t>Climate infrastructure Initiative (Rapid Growth)</t>
  </si>
  <si>
    <t>Department of Transportation, Federal Aviation Administration</t>
  </si>
  <si>
    <t>69-8106-0-7-402</t>
  </si>
  <si>
    <t>Table 15-36. Airport Improvement Program (20.106)</t>
  </si>
  <si>
    <t>Department of Transportation, Federal Highway Administration</t>
  </si>
  <si>
    <t>69-8083-0-7-401</t>
  </si>
  <si>
    <t>Table 15-37. Highway Planning and Construction (20.205)</t>
  </si>
  <si>
    <r>
      <t>1</t>
    </r>
    <r>
      <rPr>
        <sz val="10"/>
        <rFont val="Arial Narrow"/>
        <family val="2"/>
      </rPr>
      <t xml:space="preserve"> 5,194,866</t>
    </r>
  </si>
  <si>
    <r>
      <t>1</t>
    </r>
    <r>
      <rPr>
        <sz val="10"/>
        <rFont val="Arial Narrow"/>
        <family val="2"/>
      </rPr>
      <t xml:space="preserve"> 12,659,270</t>
    </r>
  </si>
  <si>
    <r>
      <t>1</t>
    </r>
    <r>
      <rPr>
        <sz val="10"/>
        <rFont val="Arial Narrow"/>
        <family val="2"/>
      </rPr>
      <t xml:space="preserve"> This amount includes funding for allocated programs, which has not been identified as being provided to a specific State at this time.</t>
    </r>
  </si>
  <si>
    <t>Environmental Protection Agency, Office of Water</t>
  </si>
  <si>
    <t>68-0103-0-1-304</t>
  </si>
  <si>
    <t>Table 15-38. Capitalization Grants for Clean Water State Revolving Fund (66.458)</t>
  </si>
  <si>
    <t>IA with Indian Health Service</t>
  </si>
  <si>
    <t>Missouri Independent Audits</t>
  </si>
  <si>
    <t>Sandy Supplemental Payroll Funds</t>
  </si>
  <si>
    <t>Table 15-39. Capitalization Grants for Drinking Water State Revolving Fund (66.468)</t>
  </si>
  <si>
    <t>27-5183-0-2-376</t>
  </si>
  <si>
    <t>2017 Budget State-by-State Tables</t>
  </si>
  <si>
    <t>Children's Health Insurance Program</t>
  </si>
  <si>
    <t>Grants to States for Medicaid</t>
  </si>
  <si>
    <t>Temporary Assistance for Needy Families (TANF) - Family Assistance Grants</t>
  </si>
  <si>
    <t>Child Support Enforcement - Federal Share of State and Local Administrative Costs and Incentives</t>
  </si>
  <si>
    <t>Low Income Home Energy Assistance Program</t>
  </si>
  <si>
    <t>Child Care and Development Block Grant</t>
  </si>
  <si>
    <t>Child Care and Development Fund - Mandatory</t>
  </si>
  <si>
    <t>Child Care and Development Fund - Matching</t>
  </si>
  <si>
    <t>Head Start</t>
  </si>
  <si>
    <t>Foster Care - Title IV-E</t>
  </si>
  <si>
    <t>Adoption Assistance</t>
  </si>
  <si>
    <t>Social Services Block Grant</t>
  </si>
  <si>
    <t>Ryan White HIV/AIDS Treatment Modernization Act - Part B HIV Care Grants</t>
  </si>
  <si>
    <t>Public Housing Operating Fund</t>
  </si>
  <si>
    <t>Section 8 Housing Choice Vouchers</t>
  </si>
  <si>
    <t>Public Housing Capital Fund</t>
  </si>
  <si>
    <t>Unemployment Insurance</t>
  </si>
  <si>
    <t>Federal Transit Formula Grants Program</t>
  </si>
  <si>
    <t>Airport Improvement Program</t>
  </si>
  <si>
    <t>Highway Planning and Construction</t>
  </si>
  <si>
    <t>Capitalization Grant for Clean Water State Revolving Funds</t>
  </si>
  <si>
    <t>Capitalization Grant for Drinking Water State Revolving Fund</t>
  </si>
  <si>
    <t>Table 15-11. Supporting Effective Instruction State Grants (formerly Improving Teacher Quality State Grants) (84.367)</t>
  </si>
  <si>
    <r>
      <rPr>
        <b/>
        <vertAlign val="superscript"/>
        <sz val="10"/>
        <rFont val="Arial Narrow"/>
        <family val="2"/>
      </rPr>
      <t>1</t>
    </r>
    <r>
      <rPr>
        <b/>
        <sz val="10"/>
        <rFont val="Arial Narrow"/>
        <family val="2"/>
      </rPr>
      <t xml:space="preserve"> 3091614</t>
    </r>
  </si>
  <si>
    <r>
      <rPr>
        <vertAlign val="superscript"/>
        <sz val="10"/>
        <rFont val="Arial Narrow"/>
        <family val="2"/>
      </rPr>
      <t>1</t>
    </r>
    <r>
      <rPr>
        <sz val="10"/>
        <rFont val="Arial Narrow"/>
        <family val="2"/>
      </rPr>
      <t xml:space="preserve"> FY 2015 obligations reflect the sequester reduction of 7.3 percent required for mandatory programs by the Budget Control Act of 2011.</t>
    </r>
  </si>
  <si>
    <r>
      <rPr>
        <b/>
        <vertAlign val="superscript"/>
        <sz val="10"/>
        <rFont val="Arial Narrow"/>
        <family val="2"/>
      </rPr>
      <t>2</t>
    </r>
    <r>
      <rPr>
        <b/>
        <sz val="10"/>
        <rFont val="Arial Narrow"/>
        <family val="2"/>
      </rPr>
      <t xml:space="preserve"> 3161130</t>
    </r>
  </si>
  <si>
    <r>
      <rPr>
        <vertAlign val="superscript"/>
        <sz val="10"/>
        <rFont val="Arial Narrow"/>
        <family val="2"/>
      </rPr>
      <t>2</t>
    </r>
    <r>
      <rPr>
        <sz val="10"/>
        <rFont val="Arial Narrow"/>
        <family val="2"/>
      </rPr>
      <t xml:space="preserve"> FY 2016 obligations reflect the sequester reduction of 6.8 percent required for mandatory programs by the Budget Control Act of 2011.</t>
    </r>
  </si>
  <si>
    <t>NOTE: Training and Technical assistance and Other categories are broken out under FY 2017 and only allocated with the implementation of policy changes requested under the FY2017 President's Budget.</t>
  </si>
  <si>
    <r>
      <rPr>
        <b/>
        <vertAlign val="superscript"/>
        <sz val="10"/>
        <rFont val="Arial Narrow"/>
        <family val="2"/>
      </rPr>
      <t>1</t>
    </r>
    <r>
      <rPr>
        <b/>
        <sz val="10"/>
        <rFont val="Arial Narrow"/>
        <family val="2"/>
      </rPr>
      <t xml:space="preserve"> 3394628</t>
    </r>
  </si>
  <si>
    <r>
      <rPr>
        <vertAlign val="superscript"/>
        <sz val="10"/>
        <rFont val="Arial Narrow"/>
        <family val="2"/>
      </rPr>
      <t>1</t>
    </r>
    <r>
      <rPr>
        <sz val="10"/>
        <rFont val="Arial Narrow"/>
        <family val="2"/>
      </rPr>
      <t xml:space="preserve"> FY 2015 funds includs $4,324,422 in allocations toStates and territories ($4,278,422) and Tribes ($46,000) from available balances from FY 2014 that were awarded in FY 2015.</t>
    </r>
  </si>
  <si>
    <r>
      <rPr>
        <b/>
        <vertAlign val="superscript"/>
        <sz val="10"/>
        <rFont val="Arial Narrow"/>
        <family val="2"/>
      </rPr>
      <t>2</t>
    </r>
    <r>
      <rPr>
        <b/>
        <sz val="10"/>
        <rFont val="Arial Narrow"/>
        <family val="2"/>
      </rPr>
      <t xml:space="preserve"> 3390304</t>
    </r>
  </si>
  <si>
    <r>
      <rPr>
        <b/>
        <vertAlign val="superscript"/>
        <sz val="10"/>
        <rFont val="Arial Narrow"/>
        <family val="2"/>
      </rPr>
      <t>2</t>
    </r>
    <r>
      <rPr>
        <b/>
        <sz val="10"/>
        <rFont val="Arial Narrow"/>
        <family val="2"/>
      </rPr>
      <t xml:space="preserve"> 3000304</t>
    </r>
  </si>
  <si>
    <r>
      <rPr>
        <vertAlign val="superscript"/>
        <sz val="10"/>
        <rFont val="Arial Narrow"/>
        <family val="2"/>
      </rPr>
      <t>2</t>
    </r>
    <r>
      <rPr>
        <sz val="10"/>
        <rFont val="Arial Narrow"/>
        <family val="2"/>
      </rPr>
      <t xml:space="preserve"> State allocations in all years are subject to change based on tribal agreements , therefore all final state allocations will be included on the HHS/ACF Office of Community Services web site located at this URL: http://www.acf.hhs.gov/programs/ocs/resource/liheap-funding-tables.</t>
    </r>
  </si>
  <si>
    <r>
      <t>Discretionary Funds</t>
    </r>
    <r>
      <rPr>
        <vertAlign val="superscript"/>
        <sz val="10"/>
        <rFont val="Arial Narrow"/>
        <family val="2"/>
      </rPr>
      <t xml:space="preserve"> 3</t>
    </r>
  </si>
  <si>
    <r>
      <rPr>
        <vertAlign val="superscript"/>
        <sz val="10"/>
        <rFont val="Arial Narrow"/>
        <family val="2"/>
      </rPr>
      <t>3</t>
    </r>
    <r>
      <rPr>
        <sz val="10"/>
        <rFont val="Arial Narrow"/>
        <family val="2"/>
      </rPr>
      <t xml:space="preserve"> FY 2016 and FY 2017 - The Discretionary fund includes $27,000,000 for Leveraging Incentive program and Residential Energy Assistance Challenge (REACH) program funding.</t>
    </r>
  </si>
  <si>
    <r>
      <t>2</t>
    </r>
    <r>
      <rPr>
        <sz val="10"/>
        <rFont val="Arial Narrow"/>
        <family val="2"/>
      </rPr>
      <t xml:space="preserve"> The 2017 Budget includes a legislative proposal to apply the tribal set-aside in Child Care and Development Block Grant (CCDBG) to the CCE funding. Should this proposal be enacted, HHS may re-visit this tribal set-aside to reflect the flexibility provided by the CCDBG statute to increase the funding tribes receive.</t>
    </r>
  </si>
  <si>
    <r>
      <rPr>
        <vertAlign val="superscript"/>
        <sz val="10"/>
        <rFont val="Arial Narrow"/>
        <family val="2"/>
      </rPr>
      <t>1</t>
    </r>
    <r>
      <rPr>
        <sz val="10"/>
        <rFont val="Arial Narrow"/>
        <family val="2"/>
      </rPr>
      <t xml:space="preserve"> 319000</t>
    </r>
  </si>
  <si>
    <r>
      <rPr>
        <vertAlign val="superscript"/>
        <sz val="10"/>
        <rFont val="Arial Narrow"/>
        <family val="2"/>
      </rPr>
      <t>2</t>
    </r>
    <r>
      <rPr>
        <sz val="10"/>
        <rFont val="Arial Narrow"/>
        <family val="2"/>
      </rPr>
      <t xml:space="preserve"> 611000</t>
    </r>
  </si>
  <si>
    <r>
      <rPr>
        <vertAlign val="superscript"/>
        <sz val="10"/>
        <rFont val="Arial Narrow"/>
        <family val="2"/>
      </rPr>
      <t>1</t>
    </r>
    <r>
      <rPr>
        <sz val="10"/>
        <rFont val="Arial Narrow"/>
        <family val="2"/>
      </rPr>
      <t xml:space="preserve"> The Discretionary Funds total in FY 2016 includes $25 million for DRS Transition Funds and $294 million to award competitively to Head Start programs to provide full school-year and full school-day services. </t>
    </r>
  </si>
  <si>
    <r>
      <rPr>
        <vertAlign val="superscript"/>
        <sz val="10"/>
        <rFont val="Arial Narrow"/>
        <family val="2"/>
      </rPr>
      <t>2</t>
    </r>
    <r>
      <rPr>
        <sz val="10"/>
        <rFont val="Arial Narrow"/>
        <family val="2"/>
      </rPr>
      <t xml:space="preserve"> In FY 2017, it includes the same amount for DRS Transition Funds and a total of $586 million to support Head Start programs increase their duration.</t>
    </r>
  </si>
  <si>
    <r>
      <rPr>
        <vertAlign val="superscript"/>
        <sz val="10"/>
        <rFont val="Arial Narrow"/>
        <family val="2"/>
      </rPr>
      <t>3</t>
    </r>
    <r>
      <rPr>
        <sz val="10"/>
        <rFont val="Arial Narrow"/>
        <family val="2"/>
      </rPr>
      <t xml:space="preserve"> Other - Includes funding for Research/Evaluation, Monitoring Support, and Program Support.</t>
    </r>
  </si>
  <si>
    <r>
      <t xml:space="preserve">Other </t>
    </r>
    <r>
      <rPr>
        <vertAlign val="superscript"/>
        <sz val="10"/>
        <rFont val="Arial Narrow"/>
        <family val="2"/>
      </rPr>
      <t>3</t>
    </r>
  </si>
  <si>
    <r>
      <rPr>
        <vertAlign val="superscript"/>
        <sz val="10"/>
        <rFont val="Arial Narrow"/>
        <family val="2"/>
      </rPr>
      <t>2</t>
    </r>
    <r>
      <rPr>
        <sz val="10"/>
        <rFont val="Arial Narrow"/>
        <family val="2"/>
      </rPr>
      <t xml:space="preserve"> Reflects the FY 2017 proposal for the Demonstration to Prevent the Over-Prescription of Psychotropic Drugs for Children in Foster Care.</t>
    </r>
  </si>
  <si>
    <r>
      <rPr>
        <vertAlign val="superscript"/>
        <sz val="10"/>
        <rFont val="Arial Narrow"/>
        <family val="2"/>
      </rPr>
      <t>2</t>
    </r>
    <r>
      <rPr>
        <sz val="10"/>
        <rFont val="Arial Narrow"/>
        <family val="2"/>
      </rPr>
      <t xml:space="preserve"> 50000</t>
    </r>
  </si>
  <si>
    <r>
      <t>2</t>
    </r>
    <r>
      <rPr>
        <sz val="10"/>
        <rFont val="Arial Narrow"/>
        <family val="2"/>
      </rPr>
      <t xml:space="preserve"> CFDA 97.042, 97.044, 97.056, 97.067, and 97.083.</t>
    </r>
  </si>
  <si>
    <t>NOTE: The table includes allocation waiver demonstration projects under Section 1130 of the Social Security Act for portions of the Foster Care program, but may not fully reflect the terms and conditions of such waiver agreements.</t>
  </si>
  <si>
    <r>
      <rPr>
        <vertAlign val="superscript"/>
        <sz val="10"/>
        <rFont val="Arial Narrow"/>
        <family val="2"/>
      </rPr>
      <t>1</t>
    </r>
    <r>
      <rPr>
        <sz val="10"/>
        <rFont val="Arial Narrow"/>
        <family val="2"/>
      </rPr>
      <t xml:space="preserve"> FY 2015 Undistributed line is the Oversight take down of $92,601</t>
    </r>
  </si>
  <si>
    <r>
      <rPr>
        <vertAlign val="superscript"/>
        <sz val="10"/>
        <rFont val="Arial Narrow"/>
        <family val="2"/>
      </rPr>
      <t>2</t>
    </r>
    <r>
      <rPr>
        <sz val="10"/>
        <rFont val="Arial Narrow"/>
        <family val="2"/>
      </rPr>
      <t xml:space="preserve"> FY 2016 previous authority Undistributed line inlcudes the Oversight take down $82,399</t>
    </r>
  </si>
  <si>
    <r>
      <rPr>
        <vertAlign val="superscript"/>
        <sz val="10"/>
        <rFont val="Arial Narrow"/>
        <family val="2"/>
      </rPr>
      <t>3</t>
    </r>
    <r>
      <rPr>
        <sz val="10"/>
        <rFont val="Arial Narrow"/>
        <family val="2"/>
      </rPr>
      <t xml:space="preserve"> FY 2016 New Authority Undistributed line is the Oversight take down $35,393</t>
    </r>
  </si>
  <si>
    <r>
      <rPr>
        <vertAlign val="superscript"/>
        <sz val="10"/>
        <rFont val="Arial Narrow"/>
        <family val="2"/>
      </rPr>
      <t>4</t>
    </r>
    <r>
      <rPr>
        <sz val="10"/>
        <rFont val="Arial Narrow"/>
        <family val="2"/>
      </rPr>
      <t xml:space="preserve"> FY 2017 Undistributed line is the Oversight take down of $90,819</t>
    </r>
  </si>
  <si>
    <r>
      <t>6</t>
    </r>
    <r>
      <rPr>
        <sz val="10"/>
        <rFont val="Arial Narrow"/>
        <family val="2"/>
      </rPr>
      <t xml:space="preserve"> Excludes undistributed obligations.</t>
    </r>
  </si>
  <si>
    <r>
      <t>6</t>
    </r>
    <r>
      <rPr>
        <b/>
        <sz val="10"/>
        <rFont val="Arial Narrow"/>
        <family val="2"/>
      </rPr>
      <t xml:space="preserve"> 100.00</t>
    </r>
  </si>
  <si>
    <r>
      <rPr>
        <vertAlign val="superscript"/>
        <sz val="10"/>
        <rFont val="Arial Narrow"/>
        <family val="2"/>
      </rPr>
      <t>5</t>
    </r>
    <r>
      <rPr>
        <sz val="10"/>
        <rFont val="Arial Narrow"/>
        <family val="2"/>
      </rPr>
      <t xml:space="preserve"> These lines are for the FY 2017 Budget proposal 21st Century Clean Transportation Plan Investments is account number (69-8518-0-7-401).</t>
    </r>
  </si>
  <si>
    <r>
      <rPr>
        <vertAlign val="superscript"/>
        <sz val="10"/>
        <rFont val="Arial Narrow"/>
        <family val="2"/>
      </rPr>
      <t>1</t>
    </r>
    <r>
      <rPr>
        <sz val="10"/>
        <rFont val="Arial Narrow"/>
        <family val="2"/>
      </rPr>
      <t xml:space="preserve"> 92,601</t>
    </r>
  </si>
  <si>
    <r>
      <rPr>
        <vertAlign val="superscript"/>
        <sz val="10"/>
        <rFont val="Arial Narrow"/>
        <family val="2"/>
      </rPr>
      <t>2</t>
    </r>
    <r>
      <rPr>
        <sz val="10"/>
        <rFont val="Arial Narrow"/>
        <family val="2"/>
      </rPr>
      <t xml:space="preserve"> 82,399</t>
    </r>
  </si>
  <si>
    <r>
      <rPr>
        <vertAlign val="superscript"/>
        <sz val="10"/>
        <rFont val="Arial Narrow"/>
        <family val="2"/>
      </rPr>
      <t>3</t>
    </r>
    <r>
      <rPr>
        <sz val="10"/>
        <rFont val="Arial Narrow"/>
        <family val="2"/>
      </rPr>
      <t xml:space="preserve"> 35,393</t>
    </r>
  </si>
  <si>
    <r>
      <rPr>
        <vertAlign val="superscript"/>
        <sz val="10"/>
        <rFont val="Arial Narrow"/>
        <family val="2"/>
      </rPr>
      <t>4</t>
    </r>
    <r>
      <rPr>
        <sz val="10"/>
        <rFont val="Arial Narrow"/>
        <family val="2"/>
      </rPr>
      <t xml:space="preserve"> 90,819</t>
    </r>
  </si>
  <si>
    <r>
      <rPr>
        <vertAlign val="superscript"/>
        <sz val="10"/>
        <rFont val="Arial Narrow"/>
        <family val="2"/>
      </rPr>
      <t>5</t>
    </r>
    <r>
      <rPr>
        <sz val="10"/>
        <rFont val="Arial Narrow"/>
        <family val="2"/>
      </rPr>
      <t xml:space="preserve"> 2,930,000</t>
    </r>
  </si>
  <si>
    <r>
      <rPr>
        <vertAlign val="superscript"/>
        <sz val="10"/>
        <rFont val="Arial Narrow"/>
        <family val="2"/>
      </rPr>
      <t>5</t>
    </r>
    <r>
      <rPr>
        <sz val="10"/>
        <rFont val="Arial Narrow"/>
        <family val="2"/>
      </rPr>
      <t xml:space="preserve"> 262,500</t>
    </r>
  </si>
  <si>
    <t>NOTE: This table also includes budget account numbers 69-0500-0-1-401 and 69-8518-0-X-401 (Climate Infrastructure Initiative).</t>
  </si>
  <si>
    <r>
      <rPr>
        <b/>
        <vertAlign val="superscript"/>
        <sz val="10"/>
        <rFont val="Arial Narrow"/>
        <family val="2"/>
      </rPr>
      <t>2</t>
    </r>
    <r>
      <rPr>
        <b/>
        <sz val="10"/>
        <rFont val="Arial Narrow"/>
        <family val="2"/>
      </rPr>
      <t xml:space="preserve"> 43421341</t>
    </r>
  </si>
  <si>
    <r>
      <rPr>
        <vertAlign val="superscript"/>
        <sz val="10"/>
        <rFont val="Arial Narrow"/>
        <family val="2"/>
      </rPr>
      <t>2</t>
    </r>
    <r>
      <rPr>
        <sz val="10"/>
        <rFont val="Arial Narrow"/>
        <family val="2"/>
      </rPr>
      <t xml:space="preserve"> The FY 2016 column reflects the estimated distribution of Federal-aid highways obligation limitation plus exempt contract authority post sequestration and estimated Emergency Relief Program amounts.</t>
    </r>
  </si>
  <si>
    <r>
      <rPr>
        <b/>
        <vertAlign val="superscript"/>
        <sz val="10"/>
        <rFont val="Arial Narrow"/>
        <family val="2"/>
      </rPr>
      <t>3</t>
    </r>
    <r>
      <rPr>
        <b/>
        <sz val="10"/>
        <rFont val="Arial Narrow"/>
        <family val="2"/>
      </rPr>
      <t xml:space="preserve"> 51645106</t>
    </r>
  </si>
  <si>
    <r>
      <rPr>
        <vertAlign val="superscript"/>
        <sz val="10"/>
        <rFont val="Arial Narrow"/>
        <family val="2"/>
      </rPr>
      <t>3</t>
    </r>
    <r>
      <rPr>
        <sz val="10"/>
        <rFont val="Arial Narrow"/>
        <family val="2"/>
      </rPr>
      <t xml:space="preserve"> The FY 2017 column reflects estimated distributions of Federal-aid highways obligation limitation plus exempt contract authority and estimated Emergency Relief Program amounts.</t>
    </r>
  </si>
  <si>
    <t>*</t>
  </si>
  <si>
    <r>
      <rPr>
        <b/>
        <vertAlign val="superscript"/>
        <sz val="10"/>
        <rFont val="Arial Narrow"/>
        <family val="2"/>
      </rPr>
      <t>5</t>
    </r>
    <r>
      <rPr>
        <b/>
        <sz val="10"/>
        <rFont val="Arial Narrow"/>
        <family val="2"/>
      </rPr>
      <t xml:space="preserve"> 41,821</t>
    </r>
  </si>
  <si>
    <r>
      <rPr>
        <b/>
        <vertAlign val="superscript"/>
        <sz val="10"/>
        <rFont val="Arial Narrow"/>
        <family val="2"/>
      </rPr>
      <t>5</t>
    </r>
    <r>
      <rPr>
        <b/>
        <sz val="10"/>
        <rFont val="Arial Narrow"/>
        <family val="2"/>
      </rPr>
      <t xml:space="preserve"> 1,352,066</t>
    </r>
  </si>
  <si>
    <r>
      <t xml:space="preserve">American Iron and Steel Mangement and Oversight </t>
    </r>
    <r>
      <rPr>
        <vertAlign val="superscript"/>
        <sz val="10"/>
        <rFont val="Arial Narrow"/>
        <family val="2"/>
      </rPr>
      <t>1</t>
    </r>
  </si>
  <si>
    <r>
      <rPr>
        <vertAlign val="superscript"/>
        <sz val="10"/>
        <rFont val="Arial Narrow"/>
        <family val="2"/>
      </rPr>
      <t>1</t>
    </r>
    <r>
      <rPr>
        <sz val="10"/>
        <rFont val="Arial Narrow"/>
        <family val="2"/>
      </rPr>
      <t xml:space="preserve"> Section 424 of P.L. 114-113, which amended the Clean Water Act, provides EPA the authority to retain up to 0.25 percent of CWSRF and DWSRF appropriated funds for American Iron and Steel Management and Oversight.</t>
    </r>
  </si>
  <si>
    <r>
      <rPr>
        <vertAlign val="superscript"/>
        <sz val="10"/>
        <rFont val="Arial Narrow"/>
        <family val="2"/>
      </rPr>
      <t>2</t>
    </r>
    <r>
      <rPr>
        <sz val="10"/>
        <rFont val="Arial Narrow"/>
        <family val="2"/>
      </rPr>
      <t xml:space="preserve"> Interagency Agreement with the Indian Health Service to provide services to increase basic sanitation access by providing wastewater infrastructure to Indian Tribes.</t>
    </r>
  </si>
  <si>
    <r>
      <t>2</t>
    </r>
    <r>
      <rPr>
        <sz val="10"/>
        <rFont val="Arial Narrow"/>
        <family val="2"/>
      </rPr>
      <t xml:space="preserve"> 3,903</t>
    </r>
  </si>
  <si>
    <r>
      <t>3</t>
    </r>
    <r>
      <rPr>
        <sz val="10"/>
        <rFont val="Arial Narrow"/>
        <family val="2"/>
      </rPr>
      <t xml:space="preserve"> 42</t>
    </r>
  </si>
  <si>
    <r>
      <t>4</t>
    </r>
    <r>
      <rPr>
        <sz val="10"/>
        <rFont val="Arial Narrow"/>
        <family val="2"/>
      </rPr>
      <t xml:space="preserve"> 64</t>
    </r>
  </si>
  <si>
    <r>
      <rPr>
        <vertAlign val="superscript"/>
        <sz val="10"/>
        <rFont val="Arial Narrow"/>
        <family val="2"/>
      </rPr>
      <t>3</t>
    </r>
    <r>
      <rPr>
        <sz val="10"/>
        <rFont val="Arial Narrow"/>
        <family val="2"/>
      </rPr>
      <t xml:space="preserve"> Contract awarded to Berberich Trahan, INC, for Missouri independent audits for the state Clean Water State Revolving Fund.</t>
    </r>
  </si>
  <si>
    <r>
      <rPr>
        <vertAlign val="superscript"/>
        <sz val="10"/>
        <rFont val="Arial Narrow"/>
        <family val="2"/>
      </rPr>
      <t>4</t>
    </r>
    <r>
      <rPr>
        <sz val="10"/>
        <rFont val="Arial Narrow"/>
        <family val="2"/>
      </rPr>
      <t xml:space="preserve"> Sandy Supplemental funds for Payroll in Region 2.</t>
    </r>
  </si>
  <si>
    <r>
      <rPr>
        <vertAlign val="superscript"/>
        <sz val="10"/>
        <rFont val="Arial Narrow"/>
        <family val="2"/>
      </rPr>
      <t>5</t>
    </r>
    <r>
      <rPr>
        <sz val="10"/>
        <rFont val="Arial Narrow"/>
        <family val="2"/>
      </rPr>
      <t xml:space="preserve"> FY 2016 numbers are pre-rescission.</t>
    </r>
  </si>
  <si>
    <r>
      <rPr>
        <b/>
        <vertAlign val="superscript"/>
        <sz val="10"/>
        <rFont val="Arial Narrow"/>
        <family val="2"/>
      </rPr>
      <t>6</t>
    </r>
    <r>
      <rPr>
        <b/>
        <sz val="10"/>
        <rFont val="Arial Narrow"/>
        <family val="2"/>
      </rPr>
      <t xml:space="preserve"> 100.00</t>
    </r>
  </si>
  <si>
    <r>
      <rPr>
        <vertAlign val="superscript"/>
        <sz val="10"/>
        <rFont val="Arial Narrow"/>
        <family val="2"/>
      </rPr>
      <t>1</t>
    </r>
    <r>
      <rPr>
        <sz val="10"/>
        <rFont val="Arial Narrow"/>
        <family val="2"/>
      </rPr>
      <t xml:space="preserve"> Section 424 P.L. 114-113 which amended the CWA provides EPA the authority to retain up to 0.25 percent of CWSRF and DWSRF appropriated funds for American Iron and Steel Management and Oversight.</t>
    </r>
  </si>
  <si>
    <r>
      <rPr>
        <vertAlign val="superscript"/>
        <sz val="10"/>
        <rFont val="Arial Narrow"/>
        <family val="2"/>
      </rPr>
      <t>2</t>
    </r>
    <r>
      <rPr>
        <sz val="10"/>
        <rFont val="Arial Narrow"/>
        <family val="2"/>
      </rPr>
      <t xml:space="preserve"> UCMR set aside - These funds are a set-aside of the DWSRF program ($2 million annually) to pay for the cost of monitoring for unregulated contaminants at systems serving fewer than 10,000 people. EPA uses the Unregulated Contaminant Monitoring (UCM) program to collect data for contaminants suspected to be present in drinking water, but that do not have health-based standards set under the Safe Drinking Water Act (SDWA) and these funds are for the administration, management, and oversight associated with the American Iron and Steel Requirement. 0.25% is set-aside from the DWSRF for this purpose.</t>
    </r>
  </si>
  <si>
    <r>
      <t xml:space="preserve">Monitoring for Unregulated Contaminant </t>
    </r>
    <r>
      <rPr>
        <vertAlign val="superscript"/>
        <sz val="10"/>
        <rFont val="Arial Narrow"/>
        <family val="2"/>
      </rPr>
      <t>2</t>
    </r>
  </si>
  <si>
    <r>
      <t xml:space="preserve"> 3</t>
    </r>
    <r>
      <rPr>
        <sz val="10"/>
        <rFont val="Arial Narrow"/>
        <family val="2"/>
      </rPr>
      <t xml:space="preserve"> 2,546</t>
    </r>
  </si>
  <si>
    <r>
      <rPr>
        <vertAlign val="superscript"/>
        <sz val="10"/>
        <rFont val="Arial Narrow"/>
        <family val="2"/>
      </rPr>
      <t>3</t>
    </r>
    <r>
      <rPr>
        <sz val="10"/>
        <rFont val="Arial Narrow"/>
        <family val="2"/>
      </rPr>
      <t xml:space="preserve"> Interagency Agreement with the Indian Health Service to provide services to increase basic drinking water access by providing drinking water infrastructure to Indian Tribes.</t>
    </r>
  </si>
  <si>
    <r>
      <t>4</t>
    </r>
    <r>
      <rPr>
        <sz val="10"/>
        <rFont val="Arial Narrow"/>
        <family val="2"/>
      </rPr>
      <t xml:space="preserve"> FY 2016 numbers are pre-rescission.</t>
    </r>
  </si>
  <si>
    <r>
      <rPr>
        <b/>
        <vertAlign val="superscript"/>
        <sz val="10"/>
        <rFont val="Arial Narrow"/>
        <family val="2"/>
      </rPr>
      <t>4</t>
    </r>
    <r>
      <rPr>
        <b/>
        <sz val="10"/>
        <rFont val="Arial Narrow"/>
        <family val="2"/>
      </rPr>
      <t xml:space="preserve"> 25903</t>
    </r>
  </si>
  <si>
    <r>
      <rPr>
        <b/>
        <vertAlign val="superscript"/>
        <sz val="10"/>
        <rFont val="Arial Narrow"/>
        <family val="2"/>
      </rPr>
      <t>4</t>
    </r>
    <r>
      <rPr>
        <b/>
        <sz val="10"/>
        <rFont val="Arial Narrow"/>
        <family val="2"/>
      </rPr>
      <t xml:space="preserve"> 837330</t>
    </r>
  </si>
  <si>
    <r>
      <rPr>
        <b/>
        <vertAlign val="superscript"/>
        <sz val="10"/>
        <rFont val="Arial Narrow"/>
        <family val="2"/>
      </rPr>
      <t>5</t>
    </r>
    <r>
      <rPr>
        <b/>
        <sz val="10"/>
        <rFont val="Arial Narrow"/>
        <family val="2"/>
      </rPr>
      <t xml:space="preserve"> 100.00</t>
    </r>
  </si>
  <si>
    <r>
      <rPr>
        <vertAlign val="superscript"/>
        <sz val="10"/>
        <rFont val="Arial Narrow"/>
        <family val="2"/>
      </rPr>
      <t>5</t>
    </r>
    <r>
      <rPr>
        <sz val="10"/>
        <rFont val="Arial Narrow"/>
        <family val="2"/>
      </rPr>
      <t xml:space="preserve"> Excludes undistributed obligations.</t>
    </r>
  </si>
  <si>
    <t>Table 15-40. Universal Service Fund E-Rate</t>
  </si>
  <si>
    <r>
      <t>1</t>
    </r>
    <r>
      <rPr>
        <sz val="10"/>
        <rFont val="Arial Narrow"/>
        <family val="2"/>
      </rPr>
      <t xml:space="preserve"> -16,399,946</t>
    </r>
  </si>
  <si>
    <r>
      <t>1</t>
    </r>
    <r>
      <rPr>
        <sz val="10"/>
        <rFont val="Arial Narrow"/>
        <family val="2"/>
      </rPr>
      <t xml:space="preserve"> -9,279,369</t>
    </r>
  </si>
  <si>
    <r>
      <t>1</t>
    </r>
    <r>
      <rPr>
        <sz val="10"/>
        <rFont val="Arial Narrow"/>
        <family val="2"/>
      </rPr>
      <t xml:space="preserve"> Reflects aggregate adjustments to State spending estimates.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</si>
</sst>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s>
  <fonts count="47">
    <font>
      <sz val="10"/>
      <color indexed="8"/>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Narrow"/>
      <family val="2"/>
    </font>
    <font>
      <b/>
      <sz val="10"/>
      <name val="Arial Narrow"/>
      <family val="2"/>
    </font>
    <font>
      <b/>
      <vertAlign val="superscript"/>
      <sz val="10"/>
      <name val="Arial Narrow"/>
      <family val="2"/>
    </font>
    <font>
      <sz val="16"/>
      <color indexed="8"/>
      <name val="Arial Narrow"/>
      <family val="2"/>
    </font>
    <font>
      <sz val="10"/>
      <color indexed="8"/>
      <name val="Arial Narrow"/>
      <family val="2"/>
    </font>
    <font>
      <sz val="14"/>
      <color indexed="8"/>
      <name val="Arial Narrow"/>
      <family val="2"/>
    </font>
    <font>
      <b/>
      <sz val="10"/>
      <color indexed="8"/>
      <name val="Arial Narrow"/>
      <family val="2"/>
    </font>
    <font>
      <vertAlign val="superscript"/>
      <sz val="10"/>
      <name val="Arial Narrow"/>
      <family val="2"/>
    </font>
    <font>
      <sz val="9"/>
      <name val="Tahoma"/>
      <family val="0"/>
    </font>
    <font>
      <u val="single"/>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top style="thin"/>
      <bottom/>
    </border>
    <border>
      <left style="thin"/>
      <right style="thin"/>
      <top/>
      <bottom/>
    </border>
    <border>
      <left style="thin"/>
      <right/>
      <top/>
      <bottom/>
    </border>
    <border>
      <left/>
      <right/>
      <top/>
      <bottom style="thin"/>
    </border>
    <border>
      <left style="thin"/>
      <right/>
      <top style="thin"/>
      <bottom style="thin"/>
    </border>
    <border>
      <left/>
      <right style="thin"/>
      <top style="thin"/>
      <bottom/>
    </border>
    <border>
      <left/>
      <right style="thin"/>
      <top/>
      <bottom style="thin"/>
    </border>
    <border>
      <left style="thin"/>
      <right style="thin"/>
      <top style="thin"/>
      <bottom/>
    </border>
    <border>
      <left style="thin"/>
      <right style="thin"/>
      <top/>
      <bottom style="thin"/>
    </border>
    <border>
      <left style="thin"/>
      <right/>
      <top style="thin"/>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8"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Alignment="1">
      <alignment/>
    </xf>
    <xf numFmtId="0" fontId="22" fillId="0" borderId="0" xfId="0" applyFont="1" applyAlignment="1">
      <alignment horizontal="center"/>
    </xf>
    <xf numFmtId="0" fontId="22" fillId="0" borderId="0" xfId="0" applyFont="1" applyAlignment="1">
      <alignment/>
    </xf>
    <xf numFmtId="49" fontId="22" fillId="0" borderId="0" xfId="0" applyNumberFormat="1" applyFont="1" applyAlignment="1">
      <alignment horizontal="center" wrapText="1"/>
    </xf>
    <xf numFmtId="0" fontId="21" fillId="0" borderId="0" xfId="0" applyFont="1" applyAlignment="1">
      <alignment horizontal="centerContinuous"/>
    </xf>
    <xf numFmtId="0" fontId="22" fillId="0" borderId="0" xfId="0" applyFont="1" applyAlignment="1">
      <alignment horizontal="centerContinuous"/>
    </xf>
    <xf numFmtId="49" fontId="22" fillId="0" borderId="0" xfId="0" applyNumberFormat="1" applyFont="1" applyAlignment="1">
      <alignment horizontal="centerContinuous" wrapText="1"/>
    </xf>
    <xf numFmtId="0" fontId="23" fillId="0" borderId="0" xfId="0" applyFont="1" applyAlignment="1">
      <alignment horizontal="centerContinuous"/>
    </xf>
    <xf numFmtId="0" fontId="24" fillId="0" borderId="0" xfId="0" applyFont="1" applyAlignment="1">
      <alignment horizontal="center"/>
    </xf>
    <xf numFmtId="49" fontId="24" fillId="0" borderId="0" xfId="0" applyNumberFormat="1" applyFont="1" applyAlignment="1">
      <alignment horizontal="center" wrapText="1"/>
    </xf>
    <xf numFmtId="0" fontId="18" fillId="0" borderId="0" xfId="0" applyFont="1" applyAlignment="1">
      <alignment vertical="top" wrapText="1"/>
    </xf>
    <xf numFmtId="0" fontId="18" fillId="0" borderId="0" xfId="0" applyFont="1" applyAlignment="1">
      <alignment horizontal="left" vertical="top" wrapText="1"/>
    </xf>
    <xf numFmtId="0" fontId="19" fillId="0" borderId="0" xfId="0" applyFont="1" applyAlignment="1">
      <alignment vertical="top" wrapText="1"/>
    </xf>
    <xf numFmtId="0" fontId="19" fillId="0" borderId="0" xfId="0" applyFont="1" applyBorder="1" applyAlignment="1">
      <alignment horizontal="centerContinuous" vertical="top" wrapText="1"/>
    </xf>
    <xf numFmtId="0" fontId="18" fillId="0" borderId="0" xfId="0" applyFont="1" applyBorder="1" applyAlignment="1">
      <alignment horizontal="centerContinuous" vertical="top" wrapText="1"/>
    </xf>
    <xf numFmtId="164" fontId="18" fillId="0" borderId="10" xfId="0" applyNumberFormat="1" applyFont="1" applyBorder="1" applyAlignment="1">
      <alignment horizontal="center" vertical="center" wrapText="1"/>
    </xf>
    <xf numFmtId="0" fontId="18" fillId="0" borderId="11" xfId="0" applyFont="1" applyBorder="1" applyAlignment="1">
      <alignment horizontal="centerContinuous" vertical="center" wrapText="1"/>
    </xf>
    <xf numFmtId="164" fontId="18" fillId="0" borderId="12" xfId="0" applyNumberFormat="1" applyFont="1" applyBorder="1" applyAlignment="1">
      <alignment horizontal="right" vertical="top" wrapText="1"/>
    </xf>
    <xf numFmtId="165" fontId="18" fillId="0" borderId="13" xfId="0" applyNumberFormat="1" applyFont="1" applyBorder="1" applyAlignment="1">
      <alignment horizontal="right" vertical="top" wrapText="1"/>
    </xf>
    <xf numFmtId="0" fontId="19" fillId="0" borderId="14" xfId="0" applyFont="1" applyBorder="1" applyAlignment="1">
      <alignment horizontal="left" vertical="top" wrapText="1"/>
    </xf>
    <xf numFmtId="164" fontId="19" fillId="0" borderId="15" xfId="0" applyNumberFormat="1" applyFont="1" applyBorder="1" applyAlignment="1">
      <alignment horizontal="right" vertical="top" wrapText="1"/>
    </xf>
    <xf numFmtId="165" fontId="20" fillId="0" borderId="15" xfId="0" applyNumberFormat="1" applyFont="1" applyBorder="1" applyAlignment="1">
      <alignment horizontal="right" vertical="top" wrapText="1"/>
    </xf>
    <xf numFmtId="165" fontId="19" fillId="0" borderId="15" xfId="0" applyNumberFormat="1" applyFont="1" applyBorder="1" applyAlignment="1">
      <alignment horizontal="right" vertical="top" wrapText="1"/>
    </xf>
    <xf numFmtId="164" fontId="25" fillId="0" borderId="12" xfId="0" applyNumberFormat="1" applyFont="1" applyBorder="1" applyAlignment="1">
      <alignment horizontal="right" vertical="top" wrapText="1"/>
    </xf>
    <xf numFmtId="164" fontId="18" fillId="0" borderId="0" xfId="0" applyNumberFormat="1" applyFont="1" applyFill="1" applyBorder="1" applyAlignment="1">
      <alignment horizontal="right" vertical="top" wrapText="1"/>
    </xf>
    <xf numFmtId="3" fontId="18" fillId="0" borderId="12" xfId="0" applyNumberFormat="1" applyFont="1" applyBorder="1" applyAlignment="1">
      <alignment horizontal="right" wrapText="1"/>
    </xf>
    <xf numFmtId="49" fontId="25" fillId="0" borderId="0" xfId="0" applyNumberFormat="1" applyFont="1" applyAlignment="1">
      <alignment vertical="top" wrapText="1"/>
    </xf>
    <xf numFmtId="164" fontId="18" fillId="0" borderId="16" xfId="0" applyNumberFormat="1" applyFont="1" applyBorder="1" applyAlignment="1">
      <alignment horizontal="center" vertical="center" wrapText="1"/>
    </xf>
    <xf numFmtId="164" fontId="18" fillId="0" borderId="17" xfId="0" applyNumberFormat="1" applyFont="1" applyBorder="1" applyAlignment="1">
      <alignment horizontal="center" vertical="center" wrapText="1"/>
    </xf>
    <xf numFmtId="164" fontId="18" fillId="0" borderId="18" xfId="0" applyNumberFormat="1" applyFont="1" applyBorder="1" applyAlignment="1">
      <alignment horizontal="center" vertical="center" wrapText="1"/>
    </xf>
    <xf numFmtId="164" fontId="18" fillId="0" borderId="19" xfId="0" applyNumberFormat="1" applyFont="1" applyBorder="1" applyAlignment="1">
      <alignment horizontal="center" vertical="center" wrapText="1"/>
    </xf>
    <xf numFmtId="164" fontId="18" fillId="0" borderId="20" xfId="0" applyNumberFormat="1" applyFont="1" applyBorder="1" applyAlignment="1">
      <alignment horizontal="center" vertical="center" wrapText="1"/>
    </xf>
    <xf numFmtId="164" fontId="18" fillId="0" borderId="21" xfId="0" applyNumberFormat="1" applyFont="1" applyBorder="1" applyAlignment="1">
      <alignment horizontal="center" vertical="center" wrapText="1"/>
    </xf>
    <xf numFmtId="49" fontId="18" fillId="0" borderId="11" xfId="0" applyNumberFormat="1" applyFont="1" applyBorder="1" applyAlignment="1">
      <alignment vertical="top" wrapText="1"/>
    </xf>
    <xf numFmtId="49" fontId="18" fillId="0" borderId="0" xfId="0" applyNumberFormat="1" applyFont="1" applyAlignment="1">
      <alignment vertical="top" wrapText="1"/>
    </xf>
    <xf numFmtId="49" fontId="18" fillId="0" borderId="0" xfId="0" applyNumberFormat="1" applyFont="1" applyAlignment="1">
      <alignment horizontal="left" vertical="top" wrapText="1"/>
    </xf>
    <xf numFmtId="49" fontId="18" fillId="0" borderId="0" xfId="0" applyNumberFormat="1" applyFont="1" applyFill="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0"/>
  <sheetViews>
    <sheetView tabSelected="1" zoomScalePageLayoutView="0" workbookViewId="0" topLeftCell="A1">
      <pane ySplit="3" topLeftCell="A25" activePane="bottomLeft" state="frozen"/>
      <selection pane="topLeft" activeCell="A1" sqref="A1"/>
      <selection pane="bottomLeft" activeCell="A1" sqref="A1"/>
    </sheetView>
  </sheetViews>
  <sheetFormatPr defaultColWidth="9.140625" defaultRowHeight="12.75"/>
  <cols>
    <col min="1" max="1" width="15.7109375" style="1" customWidth="1"/>
    <col min="2" max="2" width="41.7109375" style="2" customWidth="1"/>
    <col min="3" max="3" width="39.421875" style="2" customWidth="1"/>
    <col min="4" max="4" width="15.421875" style="3" customWidth="1"/>
  </cols>
  <sheetData>
    <row r="1" spans="1:4" ht="20.25" customHeight="1">
      <c r="A1" s="4" t="s">
        <v>381</v>
      </c>
      <c r="B1" s="5"/>
      <c r="C1" s="5"/>
      <c r="D1" s="6"/>
    </row>
    <row r="2" spans="1:4" ht="18" customHeight="1">
      <c r="A2" s="7" t="s">
        <v>0</v>
      </c>
      <c r="B2" s="5"/>
      <c r="C2" s="5"/>
      <c r="D2" s="6"/>
    </row>
    <row r="3" spans="1:4" ht="12.75">
      <c r="A3" s="8" t="s">
        <v>1</v>
      </c>
      <c r="B3" s="8" t="s">
        <v>2</v>
      </c>
      <c r="C3" s="8" t="s">
        <v>3</v>
      </c>
      <c r="D3" s="9" t="s">
        <v>4</v>
      </c>
    </row>
    <row r="5" spans="1:4" ht="25.5">
      <c r="A5" s="1" t="s">
        <v>5</v>
      </c>
      <c r="B5" s="10" t="s">
        <v>6</v>
      </c>
      <c r="C5" s="11" t="s">
        <v>7</v>
      </c>
      <c r="D5" s="3">
        <v>10.553</v>
      </c>
    </row>
    <row r="6" spans="1:4" ht="25.5">
      <c r="A6" s="1" t="s">
        <v>8</v>
      </c>
      <c r="B6" s="10" t="s">
        <v>6</v>
      </c>
      <c r="C6" s="11" t="s">
        <v>9</v>
      </c>
      <c r="D6" s="3">
        <v>10.555</v>
      </c>
    </row>
    <row r="7" spans="1:4" ht="25.5">
      <c r="A7" s="1" t="s">
        <v>10</v>
      </c>
      <c r="B7" s="10" t="s">
        <v>6</v>
      </c>
      <c r="C7" s="11" t="s">
        <v>11</v>
      </c>
      <c r="D7" s="3">
        <v>10.557</v>
      </c>
    </row>
    <row r="8" spans="1:4" ht="25.5">
      <c r="A8" s="1" t="s">
        <v>12</v>
      </c>
      <c r="B8" s="10" t="s">
        <v>6</v>
      </c>
      <c r="C8" s="11" t="s">
        <v>13</v>
      </c>
      <c r="D8" s="3">
        <v>10.558</v>
      </c>
    </row>
    <row r="9" spans="1:4" ht="38.25">
      <c r="A9" s="1" t="s">
        <v>14</v>
      </c>
      <c r="B9" s="10" t="s">
        <v>6</v>
      </c>
      <c r="C9" s="11" t="s">
        <v>15</v>
      </c>
      <c r="D9" s="3">
        <v>10.561</v>
      </c>
    </row>
    <row r="10" spans="1:4" ht="25.5">
      <c r="A10" s="1" t="s">
        <v>16</v>
      </c>
      <c r="B10" s="10" t="s">
        <v>17</v>
      </c>
      <c r="C10" s="11" t="s">
        <v>18</v>
      </c>
      <c r="D10" s="3">
        <v>84.01</v>
      </c>
    </row>
    <row r="11" spans="1:4" ht="25.5">
      <c r="A11" s="1" t="s">
        <v>19</v>
      </c>
      <c r="B11" s="10" t="s">
        <v>17</v>
      </c>
      <c r="C11" s="11" t="s">
        <v>20</v>
      </c>
      <c r="D11" s="3">
        <v>84.367</v>
      </c>
    </row>
    <row r="12" spans="1:4" ht="25.5">
      <c r="A12" s="1" t="s">
        <v>21</v>
      </c>
      <c r="B12" s="10" t="s">
        <v>22</v>
      </c>
      <c r="C12" s="11" t="s">
        <v>23</v>
      </c>
      <c r="D12" s="3">
        <v>84.027</v>
      </c>
    </row>
    <row r="13" spans="1:4" ht="25.5">
      <c r="A13" s="1" t="s">
        <v>24</v>
      </c>
      <c r="B13" s="10" t="s">
        <v>22</v>
      </c>
      <c r="C13" s="11" t="s">
        <v>25</v>
      </c>
      <c r="D13" s="3">
        <v>84.126</v>
      </c>
    </row>
    <row r="14" spans="1:4" ht="25.5">
      <c r="A14" s="1" t="s">
        <v>26</v>
      </c>
      <c r="B14" s="10" t="s">
        <v>27</v>
      </c>
      <c r="C14" s="11" t="s">
        <v>28</v>
      </c>
      <c r="D14" s="3">
        <v>93.525</v>
      </c>
    </row>
    <row r="15" spans="1:4" ht="25.5">
      <c r="A15" s="1" t="s">
        <v>29</v>
      </c>
      <c r="B15" s="10" t="s">
        <v>27</v>
      </c>
      <c r="C15" s="11" t="s">
        <v>382</v>
      </c>
      <c r="D15" s="3">
        <v>93.767</v>
      </c>
    </row>
    <row r="16" spans="1:4" ht="25.5">
      <c r="A16" s="1" t="s">
        <v>30</v>
      </c>
      <c r="B16" s="10" t="s">
        <v>27</v>
      </c>
      <c r="C16" s="11" t="s">
        <v>383</v>
      </c>
      <c r="D16" s="3">
        <v>93.778</v>
      </c>
    </row>
    <row r="17" spans="1:4" ht="25.5">
      <c r="A17" s="1" t="s">
        <v>31</v>
      </c>
      <c r="B17" s="10" t="s">
        <v>32</v>
      </c>
      <c r="C17" s="11" t="s">
        <v>384</v>
      </c>
      <c r="D17" s="3">
        <v>93.558</v>
      </c>
    </row>
    <row r="18" spans="1:4" ht="25.5">
      <c r="A18" s="1" t="s">
        <v>33</v>
      </c>
      <c r="B18" s="10" t="s">
        <v>32</v>
      </c>
      <c r="C18" s="11" t="s">
        <v>385</v>
      </c>
      <c r="D18" s="3">
        <v>93.563</v>
      </c>
    </row>
    <row r="19" spans="1:4" ht="25.5">
      <c r="A19" s="1" t="s">
        <v>34</v>
      </c>
      <c r="B19" s="10" t="s">
        <v>32</v>
      </c>
      <c r="C19" s="11" t="s">
        <v>386</v>
      </c>
      <c r="D19" s="3">
        <v>93.568</v>
      </c>
    </row>
    <row r="20" spans="1:4" ht="25.5">
      <c r="A20" s="1" t="s">
        <v>35</v>
      </c>
      <c r="B20" s="10" t="s">
        <v>32</v>
      </c>
      <c r="C20" s="11" t="s">
        <v>387</v>
      </c>
      <c r="D20" s="3">
        <v>93.575</v>
      </c>
    </row>
    <row r="21" spans="1:4" ht="25.5">
      <c r="A21" s="1" t="s">
        <v>36</v>
      </c>
      <c r="B21" s="10" t="s">
        <v>32</v>
      </c>
      <c r="C21" s="11" t="s">
        <v>388</v>
      </c>
      <c r="D21" s="3" t="s">
        <v>37</v>
      </c>
    </row>
    <row r="22" spans="1:4" ht="25.5">
      <c r="A22" s="1" t="s">
        <v>38</v>
      </c>
      <c r="B22" s="10" t="s">
        <v>32</v>
      </c>
      <c r="C22" s="11" t="s">
        <v>389</v>
      </c>
      <c r="D22" s="3" t="s">
        <v>39</v>
      </c>
    </row>
    <row r="23" spans="1:4" ht="25.5">
      <c r="A23" s="1" t="s">
        <v>40</v>
      </c>
      <c r="B23" s="10" t="s">
        <v>32</v>
      </c>
      <c r="C23" s="11" t="s">
        <v>390</v>
      </c>
      <c r="D23" s="3">
        <v>93.6</v>
      </c>
    </row>
    <row r="24" spans="1:4" ht="25.5">
      <c r="A24" s="1" t="s">
        <v>41</v>
      </c>
      <c r="B24" s="10" t="s">
        <v>32</v>
      </c>
      <c r="C24" s="11" t="s">
        <v>391</v>
      </c>
      <c r="D24" s="3">
        <v>93.658</v>
      </c>
    </row>
    <row r="25" spans="1:4" ht="25.5">
      <c r="A25" s="1" t="s">
        <v>42</v>
      </c>
      <c r="B25" s="10" t="s">
        <v>32</v>
      </c>
      <c r="C25" s="11" t="s">
        <v>392</v>
      </c>
      <c r="D25" s="3">
        <v>93.659</v>
      </c>
    </row>
    <row r="26" spans="1:4" ht="25.5">
      <c r="A26" s="1" t="s">
        <v>43</v>
      </c>
      <c r="B26" s="10" t="s">
        <v>32</v>
      </c>
      <c r="C26" s="11" t="s">
        <v>393</v>
      </c>
      <c r="D26" s="3">
        <v>93.667</v>
      </c>
    </row>
    <row r="27" spans="1:4" ht="25.5">
      <c r="A27" s="1" t="s">
        <v>44</v>
      </c>
      <c r="B27" s="10" t="s">
        <v>45</v>
      </c>
      <c r="C27" s="11" t="s">
        <v>394</v>
      </c>
      <c r="D27" s="3">
        <v>93.917</v>
      </c>
    </row>
    <row r="28" spans="1:4" ht="25.5">
      <c r="A28" s="1" t="s">
        <v>46</v>
      </c>
      <c r="B28" s="10" t="s">
        <v>47</v>
      </c>
      <c r="C28" s="11" t="s">
        <v>48</v>
      </c>
      <c r="D28" s="3" t="s">
        <v>49</v>
      </c>
    </row>
    <row r="29" spans="1:4" ht="25.5">
      <c r="A29" s="1" t="s">
        <v>50</v>
      </c>
      <c r="B29" s="10" t="s">
        <v>51</v>
      </c>
      <c r="C29" s="11" t="s">
        <v>395</v>
      </c>
      <c r="D29" s="3">
        <v>14.85</v>
      </c>
    </row>
    <row r="30" spans="1:4" ht="25.5">
      <c r="A30" s="1" t="s">
        <v>52</v>
      </c>
      <c r="B30" s="10" t="s">
        <v>51</v>
      </c>
      <c r="C30" s="11" t="s">
        <v>396</v>
      </c>
      <c r="D30" s="3">
        <v>14.871</v>
      </c>
    </row>
    <row r="31" spans="1:4" ht="25.5">
      <c r="A31" s="1" t="s">
        <v>53</v>
      </c>
      <c r="B31" s="10" t="s">
        <v>51</v>
      </c>
      <c r="C31" s="11" t="s">
        <v>397</v>
      </c>
      <c r="D31" s="3">
        <v>14.872</v>
      </c>
    </row>
    <row r="32" spans="1:4" ht="25.5">
      <c r="A32" s="1" t="s">
        <v>54</v>
      </c>
      <c r="B32" s="10" t="s">
        <v>55</v>
      </c>
      <c r="C32" s="11" t="s">
        <v>56</v>
      </c>
      <c r="D32" s="3" t="s">
        <v>57</v>
      </c>
    </row>
    <row r="33" spans="1:4" ht="25.5">
      <c r="A33" s="1" t="s">
        <v>58</v>
      </c>
      <c r="B33" s="10" t="s">
        <v>55</v>
      </c>
      <c r="C33" s="11" t="s">
        <v>59</v>
      </c>
      <c r="D33" s="3" t="s">
        <v>60</v>
      </c>
    </row>
    <row r="34" spans="1:4" ht="25.5">
      <c r="A34" s="1" t="s">
        <v>61</v>
      </c>
      <c r="B34" s="10" t="s">
        <v>62</v>
      </c>
      <c r="C34" s="11" t="s">
        <v>398</v>
      </c>
      <c r="D34" s="3">
        <v>17.225</v>
      </c>
    </row>
    <row r="35" spans="1:4" ht="25.5">
      <c r="A35" s="1" t="s">
        <v>63</v>
      </c>
      <c r="B35" s="10" t="s">
        <v>64</v>
      </c>
      <c r="C35" s="11" t="s">
        <v>399</v>
      </c>
      <c r="D35" s="3">
        <v>20.507</v>
      </c>
    </row>
    <row r="36" spans="1:4" ht="25.5">
      <c r="A36" s="1" t="s">
        <v>65</v>
      </c>
      <c r="B36" s="10" t="s">
        <v>66</v>
      </c>
      <c r="C36" s="11" t="s">
        <v>400</v>
      </c>
      <c r="D36" s="3">
        <v>20.106</v>
      </c>
    </row>
    <row r="37" spans="1:4" ht="25.5">
      <c r="A37" s="1" t="s">
        <v>67</v>
      </c>
      <c r="B37" s="10" t="s">
        <v>68</v>
      </c>
      <c r="C37" s="11" t="s">
        <v>401</v>
      </c>
      <c r="D37" s="3">
        <v>20.205</v>
      </c>
    </row>
    <row r="38" spans="1:4" ht="25.5">
      <c r="A38" s="1" t="s">
        <v>69</v>
      </c>
      <c r="B38" s="10" t="s">
        <v>70</v>
      </c>
      <c r="C38" s="11" t="s">
        <v>402</v>
      </c>
      <c r="D38" s="3">
        <v>66.458</v>
      </c>
    </row>
    <row r="39" spans="1:4" ht="25.5">
      <c r="A39" s="1" t="s">
        <v>71</v>
      </c>
      <c r="B39" s="10" t="s">
        <v>70</v>
      </c>
      <c r="C39" s="11" t="s">
        <v>403</v>
      </c>
      <c r="D39" s="3">
        <v>66.468</v>
      </c>
    </row>
    <row r="40" spans="1:4" ht="12.75">
      <c r="A40" s="1" t="s">
        <v>72</v>
      </c>
      <c r="B40" s="10" t="s">
        <v>73</v>
      </c>
      <c r="C40" s="11" t="s">
        <v>74</v>
      </c>
      <c r="D40" s="3" t="s">
        <v>75</v>
      </c>
    </row>
  </sheetData>
  <sheetProtection/>
  <hyperlinks>
    <hyperlink ref="A5" location="'Table 15-5'!A1" display="'Table 15-5'!A1"/>
    <hyperlink ref="A6" location="'Table 15-6'!A1" display="'Table 15-6'!A1"/>
    <hyperlink ref="A7" location="'Table 15-7'!A1" display="'Table 15-7'!A1"/>
    <hyperlink ref="A8" location="'Table 15-8'!A1" display="'Table 15-8'!A1"/>
    <hyperlink ref="A9" location="'Table 15-9'!A1" display="'Table 15-9'!A1"/>
    <hyperlink ref="A10" location="'Table 15-10'!A1" display="'Table 15-10'!A1"/>
    <hyperlink ref="A11" location="'Table 15-11'!A1" display="'Table 15-11'!A1"/>
    <hyperlink ref="A12" location="'Table 15-12'!A1" display="'Table 15-12'!A1"/>
    <hyperlink ref="A13" location="'Table 15-13'!A1" display="'Table 15-13'!A1"/>
    <hyperlink ref="A14" location="'Table 15-14'!A1" display="'Table 15-14'!A1"/>
    <hyperlink ref="A15" location="'Table 15-15'!A1" display="'Table 15-15'!A1"/>
    <hyperlink ref="A16" location="'Table 15-16'!A1" display="'Table 15-16'!A1"/>
    <hyperlink ref="A17" location="'Table 15-17'!A1" display="'Table 15-17'!A1"/>
    <hyperlink ref="A18" location="'Table 15-18'!A1" display="'Table 15-18'!A1"/>
    <hyperlink ref="A19" location="'Table 15-19'!A1" display="'Table 15-19'!A1"/>
    <hyperlink ref="A20" location="'Table 15-20'!A1" display="'Table 15-20'!A1"/>
    <hyperlink ref="A21" location="'Table 15-21'!A1" display="'Table 15-21'!A1"/>
    <hyperlink ref="A22" location="'Table 15-22'!A1" display="'Table 15-22'!A1"/>
    <hyperlink ref="A23" location="'Table 15-23'!A1" display="'Table 15-23'!A1"/>
    <hyperlink ref="A24" location="'Table 15-24'!A1" display="'Table 15-24'!A1"/>
    <hyperlink ref="A25" location="'Table 15-25'!A1" display="'Table 15-25'!A1"/>
    <hyperlink ref="A26" location="'Table 15-26'!A1" display="'Table 15-26'!A1"/>
    <hyperlink ref="A27" location="'Table 15-27'!A1" display="'Table 15-27'!A1"/>
    <hyperlink ref="A28" location="'Table 15-28'!A1" display="'Table 15-28'!A1"/>
    <hyperlink ref="A29" location="'Table 15-29'!A1" display="'Table 15-29'!A1"/>
    <hyperlink ref="A30" location="'Table 15-30'!A1" display="'Table 15-30'!A1"/>
    <hyperlink ref="A31" location="'Table 15-31'!A1" display="'Table 15-31'!A1"/>
    <hyperlink ref="A32" location="'Table 15-32'!A1" display="'Table 15-32'!A1"/>
    <hyperlink ref="A33" location="'Table 15-33'!A1" display="'Table 15-33'!A1"/>
    <hyperlink ref="A34" location="'Table 15-34'!A1" display="'Table 15-34'!A1"/>
    <hyperlink ref="A35" location="'Table 15-35'!A1" display="'Table 15-35'!A1"/>
    <hyperlink ref="A36" location="'Table 15-36'!A1" display="'Table 15-36'!A1"/>
    <hyperlink ref="A37" location="'Table 15-37'!A1" display="'Table 15-37'!A1"/>
    <hyperlink ref="A38" location="'Table 15-38'!A1" display="'Table 15-38'!A1"/>
    <hyperlink ref="A39" location="'Table 15-39'!A1" display="'Table 15-39'!A1"/>
    <hyperlink ref="A40" location="'Table 15-40'!A1" display="'Table 15-40'!A1"/>
  </hyperlinks>
  <printOptions/>
  <pageMargins left="0.7" right="0.7" top="0.75" bottom="0.75" header="0.3" footer="0.3"/>
  <pageSetup fitToHeight="1" fitToWidth="1"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161</v>
      </c>
      <c r="B1" s="10"/>
      <c r="C1" s="10"/>
      <c r="D1" s="10"/>
      <c r="E1" s="10"/>
      <c r="F1" s="10"/>
      <c r="G1" s="12" t="s">
        <v>165</v>
      </c>
    </row>
    <row r="2" spans="1:7" ht="12.75">
      <c r="A2" s="13" t="s">
        <v>166</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60431</v>
      </c>
      <c r="C6" s="17">
        <v>0</v>
      </c>
      <c r="D6" s="17">
        <v>62174</v>
      </c>
      <c r="E6" s="17">
        <v>62174</v>
      </c>
      <c r="F6" s="17">
        <v>66337</v>
      </c>
      <c r="G6" s="18">
        <f>IF(AND(F65&lt;&gt;0,66337&lt;&gt;0),IF(100*66337/(F65-0)&lt;0.005,"*",100*66337/(F65-0)),0)</f>
        <v>1.9519183746970035</v>
      </c>
    </row>
    <row r="7" spans="1:7" ht="12.75">
      <c r="A7" s="11" t="s">
        <v>89</v>
      </c>
      <c r="B7" s="17">
        <v>10775</v>
      </c>
      <c r="C7" s="17">
        <v>0</v>
      </c>
      <c r="D7" s="17">
        <v>10394</v>
      </c>
      <c r="E7" s="17">
        <v>10394</v>
      </c>
      <c r="F7" s="17">
        <v>11185</v>
      </c>
      <c r="G7" s="18">
        <f>IF(AND(F65&lt;&gt;0,11185&lt;&gt;0),IF(100*11185/(F65-0)&lt;0.005,"*",100*11185/(F65-0)),0)</f>
        <v>0.32911055701924996</v>
      </c>
    </row>
    <row r="8" spans="1:7" ht="12.75">
      <c r="A8" s="11" t="s">
        <v>90</v>
      </c>
      <c r="B8" s="17">
        <v>63708</v>
      </c>
      <c r="C8" s="17">
        <v>0</v>
      </c>
      <c r="D8" s="17">
        <v>68748</v>
      </c>
      <c r="E8" s="17">
        <v>68748</v>
      </c>
      <c r="F8" s="17">
        <v>75242</v>
      </c>
      <c r="G8" s="18">
        <f>IF(AND(F65&lt;&gt;0,75242&lt;&gt;0),IF(100*75242/(F65-0)&lt;0.005,"*",100*75242/(F65-0)),0)</f>
        <v>2.213941576329227</v>
      </c>
    </row>
    <row r="9" spans="1:7" ht="12.75">
      <c r="A9" s="11" t="s">
        <v>91</v>
      </c>
      <c r="B9" s="17">
        <v>46298</v>
      </c>
      <c r="C9" s="17">
        <v>0</v>
      </c>
      <c r="D9" s="17">
        <v>37605</v>
      </c>
      <c r="E9" s="17">
        <v>37605</v>
      </c>
      <c r="F9" s="17">
        <v>40227</v>
      </c>
      <c r="G9" s="18">
        <f>IF(AND(F65&lt;&gt;0,40227&lt;&gt;0),IF(100*40227/(F65-0)&lt;0.005,"*",100*40227/(F65-0)),0)</f>
        <v>1.1836504584008376</v>
      </c>
    </row>
    <row r="10" spans="1:7" ht="12.75">
      <c r="A10" s="11" t="s">
        <v>92</v>
      </c>
      <c r="B10" s="17">
        <v>300682</v>
      </c>
      <c r="C10" s="17">
        <v>0</v>
      </c>
      <c r="D10" s="17">
        <v>302747</v>
      </c>
      <c r="E10" s="17">
        <v>302747</v>
      </c>
      <c r="F10" s="17">
        <v>327770</v>
      </c>
      <c r="G10" s="18">
        <f>IF(AND(F65&lt;&gt;0,327770&lt;&gt;0),IF(100*327770/(F65-0)&lt;0.005,"*",100*327770/(F65-0)),0)</f>
        <v>9.64439582245861</v>
      </c>
    </row>
    <row r="11" spans="1:7" ht="12.75">
      <c r="A11" s="11" t="s">
        <v>93</v>
      </c>
      <c r="B11" s="17">
        <v>41000</v>
      </c>
      <c r="C11" s="17">
        <v>0</v>
      </c>
      <c r="D11" s="17">
        <v>43492</v>
      </c>
      <c r="E11" s="17">
        <v>43492</v>
      </c>
      <c r="F11" s="17">
        <v>47460</v>
      </c>
      <c r="G11" s="18">
        <f>IF(AND(F65&lt;&gt;0,47460&lt;&gt;0),IF(100*47460/(F65-0)&lt;0.005,"*",100*47460/(F65-0)),0)</f>
        <v>1.3964762660825751</v>
      </c>
    </row>
    <row r="12" spans="1:7" ht="12.75">
      <c r="A12" s="11" t="s">
        <v>94</v>
      </c>
      <c r="B12" s="17">
        <v>27934</v>
      </c>
      <c r="C12" s="17">
        <v>0</v>
      </c>
      <c r="D12" s="17">
        <v>21166</v>
      </c>
      <c r="E12" s="17">
        <v>21166</v>
      </c>
      <c r="F12" s="17">
        <v>22447</v>
      </c>
      <c r="G12" s="18">
        <f>IF(AND(F65&lt;&gt;0,22447&lt;&gt;0),IF(100*22447/(F65-0)&lt;0.005,"*",100*22447/(F65-0)),0)</f>
        <v>0.6604867834967459</v>
      </c>
    </row>
    <row r="13" spans="1:7" ht="12.75">
      <c r="A13" s="11" t="s">
        <v>95</v>
      </c>
      <c r="B13" s="17">
        <v>13675</v>
      </c>
      <c r="C13" s="17">
        <v>0</v>
      </c>
      <c r="D13" s="17">
        <v>10394</v>
      </c>
      <c r="E13" s="17">
        <v>10394</v>
      </c>
      <c r="F13" s="17">
        <v>11185</v>
      </c>
      <c r="G13" s="18">
        <f>IF(AND(F65&lt;&gt;0,11185&lt;&gt;0),IF(100*11185/(F65-0)&lt;0.005,"*",100*11185/(F65-0)),0)</f>
        <v>0.32911055701924996</v>
      </c>
    </row>
    <row r="14" spans="1:7" ht="12.75">
      <c r="A14" s="11" t="s">
        <v>96</v>
      </c>
      <c r="B14" s="17">
        <v>17289</v>
      </c>
      <c r="C14" s="17">
        <v>0</v>
      </c>
      <c r="D14" s="17">
        <v>14117</v>
      </c>
      <c r="E14" s="17">
        <v>14117</v>
      </c>
      <c r="F14" s="17">
        <v>15113</v>
      </c>
      <c r="G14" s="18">
        <f>IF(AND(F65&lt;&gt;0,15113&lt;&gt;0),IF(100*15113/(F65-0)&lt;0.005,"*",100*15113/(F65-0)),0)</f>
        <v>0.44468912366847785</v>
      </c>
    </row>
    <row r="15" spans="1:7" ht="12.75">
      <c r="A15" s="11" t="s">
        <v>97</v>
      </c>
      <c r="B15" s="17">
        <v>173636</v>
      </c>
      <c r="C15" s="17">
        <v>0</v>
      </c>
      <c r="D15" s="17">
        <v>183079</v>
      </c>
      <c r="E15" s="17">
        <v>183079</v>
      </c>
      <c r="F15" s="17">
        <v>200466</v>
      </c>
      <c r="G15" s="18">
        <f>IF(AND(F65&lt;&gt;0,200466&lt;&gt;0),IF(100*200466/(F65-0)&lt;0.005,"*",100*200466/(F65-0)),0)</f>
        <v>5.898567449568257</v>
      </c>
    </row>
    <row r="16" spans="1:7" ht="12.75">
      <c r="A16" s="11" t="s">
        <v>98</v>
      </c>
      <c r="B16" s="17">
        <v>80321</v>
      </c>
      <c r="C16" s="17">
        <v>0</v>
      </c>
      <c r="D16" s="17">
        <v>109381</v>
      </c>
      <c r="E16" s="17">
        <v>109381</v>
      </c>
      <c r="F16" s="17">
        <v>118641</v>
      </c>
      <c r="G16" s="18">
        <f>IF(AND(F65&lt;&gt;0,118641&lt;&gt;0),IF(100*118641/(F65-0)&lt;0.005,"*",100*118641/(F65-0)),0)</f>
        <v>3.4909258466983313</v>
      </c>
    </row>
    <row r="17" spans="1:7" ht="12.75">
      <c r="A17" s="11" t="s">
        <v>99</v>
      </c>
      <c r="B17" s="17">
        <v>13232</v>
      </c>
      <c r="C17" s="17">
        <v>0</v>
      </c>
      <c r="D17" s="17">
        <v>12284</v>
      </c>
      <c r="E17" s="17">
        <v>12284</v>
      </c>
      <c r="F17" s="17">
        <v>13296</v>
      </c>
      <c r="G17" s="18">
        <f>IF(AND(F65&lt;&gt;0,13296&lt;&gt;0),IF(100*13296/(F65-0)&lt;0.005,"*",100*13296/(F65-0)),0)</f>
        <v>0.39122520930960636</v>
      </c>
    </row>
    <row r="18" spans="1:7" ht="12.75">
      <c r="A18" s="11" t="s">
        <v>100</v>
      </c>
      <c r="B18" s="17">
        <v>17558</v>
      </c>
      <c r="C18" s="17">
        <v>0</v>
      </c>
      <c r="D18" s="17">
        <v>18721</v>
      </c>
      <c r="E18" s="17">
        <v>18721</v>
      </c>
      <c r="F18" s="17">
        <v>20350</v>
      </c>
      <c r="G18" s="18">
        <f>IF(AND(F65&lt;&gt;0,20350&lt;&gt;0),IF(100*20350/(F65-0)&lt;0.005,"*",100*20350/(F65-0)),0)</f>
        <v>0.5987840711078888</v>
      </c>
    </row>
    <row r="19" spans="1:7" ht="12.75">
      <c r="A19" s="11" t="s">
        <v>101</v>
      </c>
      <c r="B19" s="17">
        <v>109572</v>
      </c>
      <c r="C19" s="17">
        <v>0</v>
      </c>
      <c r="D19" s="17">
        <v>112744</v>
      </c>
      <c r="E19" s="17">
        <v>112744</v>
      </c>
      <c r="F19" s="17">
        <v>120457</v>
      </c>
      <c r="G19" s="18">
        <f>IF(AND(F65&lt;&gt;0,120457&lt;&gt;0),IF(100*120457/(F65-0)&lt;0.005,"*",100*120457/(F65-0)),0)</f>
        <v>3.544360336778524</v>
      </c>
    </row>
    <row r="20" spans="1:7" ht="12.75">
      <c r="A20" s="11" t="s">
        <v>102</v>
      </c>
      <c r="B20" s="17">
        <v>59257</v>
      </c>
      <c r="C20" s="17">
        <v>0</v>
      </c>
      <c r="D20" s="17">
        <v>75986</v>
      </c>
      <c r="E20" s="17">
        <v>75986</v>
      </c>
      <c r="F20" s="17">
        <v>81452</v>
      </c>
      <c r="G20" s="18">
        <f>IF(AND(F65&lt;&gt;0,81452&lt;&gt;0),IF(100*81452/(F65-0)&lt;0.005,"*",100*81452/(F65-0)),0)</f>
        <v>2.396666346922838</v>
      </c>
    </row>
    <row r="21" spans="1:7" ht="12.75">
      <c r="A21" s="11" t="s">
        <v>103</v>
      </c>
      <c r="B21" s="17">
        <v>30885</v>
      </c>
      <c r="C21" s="17">
        <v>0</v>
      </c>
      <c r="D21" s="17">
        <v>31468</v>
      </c>
      <c r="E21" s="17">
        <v>31468</v>
      </c>
      <c r="F21" s="17">
        <v>33671</v>
      </c>
      <c r="G21" s="18">
        <f>IF(AND(F65&lt;&gt;0,33671&lt;&gt;0),IF(100*33671/(F65-0)&lt;0.005,"*",100*33671/(F65-0)),0)</f>
        <v>0.9907448873844582</v>
      </c>
    </row>
    <row r="22" spans="1:7" ht="12.75">
      <c r="A22" s="11" t="s">
        <v>104</v>
      </c>
      <c r="B22" s="17">
        <v>10491</v>
      </c>
      <c r="C22" s="17">
        <v>0</v>
      </c>
      <c r="D22" s="17">
        <v>27894</v>
      </c>
      <c r="E22" s="17">
        <v>27894</v>
      </c>
      <c r="F22" s="17">
        <v>29863</v>
      </c>
      <c r="G22" s="18">
        <f>IF(AND(F65&lt;&gt;0,29863&lt;&gt;0),IF(100*29863/(F65-0)&lt;0.005,"*",100*29863/(F65-0)),0)</f>
        <v>0.8786972341766528</v>
      </c>
    </row>
    <row r="23" spans="1:7" ht="12.75">
      <c r="A23" s="11" t="s">
        <v>105</v>
      </c>
      <c r="B23" s="17">
        <v>48491</v>
      </c>
      <c r="C23" s="17">
        <v>0</v>
      </c>
      <c r="D23" s="17">
        <v>56454</v>
      </c>
      <c r="E23" s="17">
        <v>56454</v>
      </c>
      <c r="F23" s="17">
        <v>60311</v>
      </c>
      <c r="G23" s="18">
        <f>IF(AND(F65&lt;&gt;0,60311&lt;&gt;0),IF(100*60311/(F65-0)&lt;0.005,"*",100*60311/(F65-0)),0)</f>
        <v>1.77460767138024</v>
      </c>
    </row>
    <row r="24" spans="1:7" ht="12.75">
      <c r="A24" s="11" t="s">
        <v>106</v>
      </c>
      <c r="B24" s="17">
        <v>34326</v>
      </c>
      <c r="C24" s="17">
        <v>0</v>
      </c>
      <c r="D24" s="17">
        <v>55251</v>
      </c>
      <c r="E24" s="17">
        <v>55251</v>
      </c>
      <c r="F24" s="17">
        <v>58867</v>
      </c>
      <c r="G24" s="18">
        <f>IF(AND(F65&lt;&gt;0,58867&lt;&gt;0),IF(100*58867/(F65-0)&lt;0.005,"*",100*58867/(F65-0)),0)</f>
        <v>1.7321190129684565</v>
      </c>
    </row>
    <row r="25" spans="1:7" ht="12.75">
      <c r="A25" s="11" t="s">
        <v>107</v>
      </c>
      <c r="B25" s="17">
        <v>16523</v>
      </c>
      <c r="C25" s="17">
        <v>0</v>
      </c>
      <c r="D25" s="17">
        <v>15843</v>
      </c>
      <c r="E25" s="17">
        <v>15843</v>
      </c>
      <c r="F25" s="17">
        <v>16840</v>
      </c>
      <c r="G25" s="18">
        <f>IF(AND(F65&lt;&gt;0,16840&lt;&gt;0),IF(100*16840/(F65-0)&lt;0.005,"*",100*16840/(F65-0)),0)</f>
        <v>0.49550485294628244</v>
      </c>
    </row>
    <row r="26" spans="1:7" ht="12.75">
      <c r="A26" s="11" t="s">
        <v>108</v>
      </c>
      <c r="B26" s="17">
        <v>39893</v>
      </c>
      <c r="C26" s="17">
        <v>0</v>
      </c>
      <c r="D26" s="17">
        <v>41900</v>
      </c>
      <c r="E26" s="17">
        <v>41900</v>
      </c>
      <c r="F26" s="17">
        <v>44876</v>
      </c>
      <c r="G26" s="18">
        <f>IF(AND(F65&lt;&gt;0,44876&lt;&gt;0),IF(100*44876/(F65-0)&lt;0.005,"*",100*44876/(F65-0)),0)</f>
        <v>1.3204439299772786</v>
      </c>
    </row>
    <row r="27" spans="1:7" ht="12.75">
      <c r="A27" s="11" t="s">
        <v>109</v>
      </c>
      <c r="B27" s="17">
        <v>56291</v>
      </c>
      <c r="C27" s="17">
        <v>0</v>
      </c>
      <c r="D27" s="17">
        <v>47862</v>
      </c>
      <c r="E27" s="17">
        <v>47862</v>
      </c>
      <c r="F27" s="17">
        <v>50837</v>
      </c>
      <c r="G27" s="18">
        <f>IF(AND(F65&lt;&gt;0,50837&lt;&gt;0),IF(100*50837/(F65-0)&lt;0.005,"*",100*50837/(F65-0)),0)</f>
        <v>1.4958420551799383</v>
      </c>
    </row>
    <row r="28" spans="1:7" ht="12.75">
      <c r="A28" s="11" t="s">
        <v>110</v>
      </c>
      <c r="B28" s="17">
        <v>99760</v>
      </c>
      <c r="C28" s="17">
        <v>0</v>
      </c>
      <c r="D28" s="17">
        <v>110183</v>
      </c>
      <c r="E28" s="17">
        <v>110183</v>
      </c>
      <c r="F28" s="17">
        <v>117983</v>
      </c>
      <c r="G28" s="18">
        <f>IF(AND(F65&lt;&gt;0,117983&lt;&gt;0),IF(100*117983/(F65-0)&lt;0.005,"*",100*117983/(F65-0)),0)</f>
        <v>3.4715646713278647</v>
      </c>
    </row>
    <row r="29" spans="1:7" ht="12.75">
      <c r="A29" s="11" t="s">
        <v>111</v>
      </c>
      <c r="B29" s="17">
        <v>52397</v>
      </c>
      <c r="C29" s="17">
        <v>0</v>
      </c>
      <c r="D29" s="17">
        <v>48106</v>
      </c>
      <c r="E29" s="17">
        <v>48106</v>
      </c>
      <c r="F29" s="17">
        <v>51544</v>
      </c>
      <c r="G29" s="18">
        <f>IF(AND(F65&lt;&gt;0,51544&lt;&gt;0),IF(100*51544/(F65-0)&lt;0.005,"*",100*51544/(F65-0)),0)</f>
        <v>1.516645020205652</v>
      </c>
    </row>
    <row r="30" spans="1:7" ht="12.75">
      <c r="A30" s="11" t="s">
        <v>112</v>
      </c>
      <c r="B30" s="17">
        <v>44537</v>
      </c>
      <c r="C30" s="17">
        <v>0</v>
      </c>
      <c r="D30" s="17">
        <v>42990</v>
      </c>
      <c r="E30" s="17">
        <v>42990</v>
      </c>
      <c r="F30" s="17">
        <v>45702</v>
      </c>
      <c r="G30" s="18">
        <f>IF(AND(F65&lt;&gt;0,45702&lt;&gt;0),IF(100*45702/(F65-0)&lt;0.005,"*",100*45702/(F65-0)),0)</f>
        <v>1.3447483841657364</v>
      </c>
    </row>
    <row r="31" spans="1:7" ht="12.75">
      <c r="A31" s="11" t="s">
        <v>113</v>
      </c>
      <c r="B31" s="17">
        <v>65319</v>
      </c>
      <c r="C31" s="17">
        <v>0</v>
      </c>
      <c r="D31" s="17">
        <v>67552</v>
      </c>
      <c r="E31" s="17">
        <v>67552</v>
      </c>
      <c r="F31" s="17">
        <v>72285</v>
      </c>
      <c r="G31" s="18">
        <f>IF(AND(F65&lt;&gt;0,72285&lt;&gt;0),IF(100*72285/(F65-0)&lt;0.005,"*",100*72285/(F65-0)),0)</f>
        <v>2.1269339842768424</v>
      </c>
    </row>
    <row r="32" spans="1:7" ht="12.75">
      <c r="A32" s="11" t="s">
        <v>114</v>
      </c>
      <c r="B32" s="17">
        <v>12648</v>
      </c>
      <c r="C32" s="17">
        <v>0</v>
      </c>
      <c r="D32" s="17">
        <v>11511</v>
      </c>
      <c r="E32" s="17">
        <v>11511</v>
      </c>
      <c r="F32" s="17">
        <v>12393</v>
      </c>
      <c r="G32" s="18">
        <f>IF(AND(F65&lt;&gt;0,12393&lt;&gt;0),IF(100*12393/(F65-0)&lt;0.005,"*",100*12393/(F65-0)),0)</f>
        <v>0.3646550856629025</v>
      </c>
    </row>
    <row r="33" spans="1:7" ht="12.75">
      <c r="A33" s="11" t="s">
        <v>115</v>
      </c>
      <c r="B33" s="17">
        <v>20643</v>
      </c>
      <c r="C33" s="17">
        <v>0</v>
      </c>
      <c r="D33" s="17">
        <v>17655</v>
      </c>
      <c r="E33" s="17">
        <v>17655</v>
      </c>
      <c r="F33" s="17">
        <v>18927</v>
      </c>
      <c r="G33" s="18">
        <f>IF(AND(F65&lt;&gt;0,18927&lt;&gt;0),IF(100*18927/(F65-0)&lt;0.005,"*",100*18927/(F65-0)),0)</f>
        <v>0.5569133225483544</v>
      </c>
    </row>
    <row r="34" spans="1:7" ht="12.75">
      <c r="A34" s="11" t="s">
        <v>116</v>
      </c>
      <c r="B34" s="17">
        <v>15289</v>
      </c>
      <c r="C34" s="17">
        <v>0</v>
      </c>
      <c r="D34" s="17">
        <v>25605</v>
      </c>
      <c r="E34" s="17">
        <v>25605</v>
      </c>
      <c r="F34" s="17">
        <v>28250</v>
      </c>
      <c r="G34" s="18">
        <f>IF(AND(F65&lt;&gt;0,28250&lt;&gt;0),IF(100*28250/(F65-0)&lt;0.005,"*",100*28250/(F65-0)),0)</f>
        <v>0.8312358726681994</v>
      </c>
    </row>
    <row r="35" spans="1:7" ht="12.75">
      <c r="A35" s="11" t="s">
        <v>117</v>
      </c>
      <c r="B35" s="17">
        <v>11411</v>
      </c>
      <c r="C35" s="17">
        <v>0</v>
      </c>
      <c r="D35" s="17">
        <v>10829</v>
      </c>
      <c r="E35" s="17">
        <v>10829</v>
      </c>
      <c r="F35" s="17">
        <v>11549</v>
      </c>
      <c r="G35" s="18">
        <f>IF(AND(F65&lt;&gt;0,11549&lt;&gt;0),IF(100*11549/(F65-0)&lt;0.005,"*",100*11549/(F65-0)),0)</f>
        <v>0.33982099445823133</v>
      </c>
    </row>
    <row r="36" spans="1:7" ht="12.75">
      <c r="A36" s="11" t="s">
        <v>118</v>
      </c>
      <c r="B36" s="17">
        <v>63236</v>
      </c>
      <c r="C36" s="17">
        <v>0</v>
      </c>
      <c r="D36" s="17">
        <v>59927</v>
      </c>
      <c r="E36" s="17">
        <v>59927</v>
      </c>
      <c r="F36" s="17">
        <v>63863</v>
      </c>
      <c r="G36" s="18">
        <f>IF(AND(F65&lt;&gt;0,63863&lt;&gt;0),IF(100*63863/(F65-0)&lt;0.005,"*",100*63863/(F65-0)),0)</f>
        <v>1.8791227092463443</v>
      </c>
    </row>
    <row r="37" spans="1:7" ht="12.75">
      <c r="A37" s="11" t="s">
        <v>119</v>
      </c>
      <c r="B37" s="17">
        <v>21592</v>
      </c>
      <c r="C37" s="17">
        <v>0</v>
      </c>
      <c r="D37" s="17">
        <v>24998</v>
      </c>
      <c r="E37" s="17">
        <v>24998</v>
      </c>
      <c r="F37" s="17">
        <v>26778</v>
      </c>
      <c r="G37" s="18">
        <f>IF(AND(F65&lt;&gt;0,26778&lt;&gt;0),IF(100*26778/(F65-0)&lt;0.005,"*",100*26778/(F65-0)),0)</f>
        <v>0.7879233344534176</v>
      </c>
    </row>
    <row r="38" spans="1:7" ht="12.75">
      <c r="A38" s="11" t="s">
        <v>120</v>
      </c>
      <c r="B38" s="17">
        <v>150489</v>
      </c>
      <c r="C38" s="17">
        <v>0</v>
      </c>
      <c r="D38" s="17">
        <v>146370</v>
      </c>
      <c r="E38" s="17">
        <v>146370</v>
      </c>
      <c r="F38" s="17">
        <v>155748</v>
      </c>
      <c r="G38" s="18">
        <f>IF(AND(F65&lt;&gt;0,155748&lt;&gt;0),IF(100*155748/(F65-0)&lt;0.005,"*",100*155748/(F65-0)),0)</f>
        <v>4.582772555622185</v>
      </c>
    </row>
    <row r="39" spans="1:7" ht="12.75">
      <c r="A39" s="11" t="s">
        <v>121</v>
      </c>
      <c r="B39" s="17">
        <v>106348</v>
      </c>
      <c r="C39" s="17">
        <v>0</v>
      </c>
      <c r="D39" s="17">
        <v>109929</v>
      </c>
      <c r="E39" s="17">
        <v>109929</v>
      </c>
      <c r="F39" s="17">
        <v>118740</v>
      </c>
      <c r="G39" s="18">
        <f>IF(AND(F65&lt;&gt;0,118740&lt;&gt;0),IF(100*118740/(F65-0)&lt;0.005,"*",100*118740/(F65-0)),0)</f>
        <v>3.4938388502875046</v>
      </c>
    </row>
    <row r="40" spans="1:7" ht="12.75">
      <c r="A40" s="11" t="s">
        <v>122</v>
      </c>
      <c r="B40" s="17">
        <v>9642</v>
      </c>
      <c r="C40" s="17">
        <v>0</v>
      </c>
      <c r="D40" s="17">
        <v>10394</v>
      </c>
      <c r="E40" s="17">
        <v>10394</v>
      </c>
      <c r="F40" s="17">
        <v>11185</v>
      </c>
      <c r="G40" s="18">
        <f>IF(AND(F65&lt;&gt;0,11185&lt;&gt;0),IF(100*11185/(F65-0)&lt;0.005,"*",100*11185/(F65-0)),0)</f>
        <v>0.32911055701924996</v>
      </c>
    </row>
    <row r="41" spans="1:7" ht="12.75">
      <c r="A41" s="11" t="s">
        <v>123</v>
      </c>
      <c r="B41" s="17">
        <v>104755</v>
      </c>
      <c r="C41" s="17">
        <v>0</v>
      </c>
      <c r="D41" s="17">
        <v>129345</v>
      </c>
      <c r="E41" s="17">
        <v>129345</v>
      </c>
      <c r="F41" s="17">
        <v>138070</v>
      </c>
      <c r="G41" s="18">
        <f>IF(AND(F65&lt;&gt;0,138070&lt;&gt;0),IF(100*138070/(F65-0)&lt;0.005,"*",100*138070/(F65-0)),0)</f>
        <v>4.062610157143303</v>
      </c>
    </row>
    <row r="42" spans="1:7" ht="12.75">
      <c r="A42" s="11" t="s">
        <v>124</v>
      </c>
      <c r="B42" s="17">
        <v>43984</v>
      </c>
      <c r="C42" s="17">
        <v>0</v>
      </c>
      <c r="D42" s="17">
        <v>41677</v>
      </c>
      <c r="E42" s="17">
        <v>41677</v>
      </c>
      <c r="F42" s="17">
        <v>44742</v>
      </c>
      <c r="G42" s="18">
        <f>IF(AND(F65&lt;&gt;0,44742&lt;&gt;0),IF(100*44742/(F65-0)&lt;0.005,"*",100*44742/(F65-0)),0)</f>
        <v>1.3165010766343568</v>
      </c>
    </row>
    <row r="43" spans="1:7" ht="12.75">
      <c r="A43" s="11" t="s">
        <v>125</v>
      </c>
      <c r="B43" s="17">
        <v>50255</v>
      </c>
      <c r="C43" s="17">
        <v>0</v>
      </c>
      <c r="D43" s="17">
        <v>41214</v>
      </c>
      <c r="E43" s="17">
        <v>41214</v>
      </c>
      <c r="F43" s="17">
        <v>44801</v>
      </c>
      <c r="G43" s="18">
        <f>IF(AND(F65&lt;&gt;0,44801&lt;&gt;0),IF(100*44801/(F65-0)&lt;0.005,"*",100*44801/(F65-0)),0)</f>
        <v>1.3182371090763896</v>
      </c>
    </row>
    <row r="44" spans="1:7" ht="12.75">
      <c r="A44" s="11" t="s">
        <v>126</v>
      </c>
      <c r="B44" s="17">
        <v>126288</v>
      </c>
      <c r="C44" s="17">
        <v>0</v>
      </c>
      <c r="D44" s="17">
        <v>125507</v>
      </c>
      <c r="E44" s="17">
        <v>125507</v>
      </c>
      <c r="F44" s="17">
        <v>133517</v>
      </c>
      <c r="G44" s="18">
        <f>IF(AND(F65&lt;&gt;0,133517&lt;&gt;0),IF(100*133517/(F65-0)&lt;0.005,"*",100*133517/(F65-0)),0)</f>
        <v>3.9286414163199996</v>
      </c>
    </row>
    <row r="45" spans="1:7" ht="12.75">
      <c r="A45" s="11" t="s">
        <v>127</v>
      </c>
      <c r="B45" s="17">
        <v>14175</v>
      </c>
      <c r="C45" s="17">
        <v>0</v>
      </c>
      <c r="D45" s="17">
        <v>10394</v>
      </c>
      <c r="E45" s="17">
        <v>10394</v>
      </c>
      <c r="F45" s="17">
        <v>11185</v>
      </c>
      <c r="G45" s="18">
        <f>IF(AND(F65&lt;&gt;0,11185&lt;&gt;0),IF(100*11185/(F65-0)&lt;0.005,"*",100*11185/(F65-0)),0)</f>
        <v>0.32911055701924996</v>
      </c>
    </row>
    <row r="46" spans="1:7" ht="12.75">
      <c r="A46" s="11" t="s">
        <v>128</v>
      </c>
      <c r="B46" s="17">
        <v>58062</v>
      </c>
      <c r="C46" s="17">
        <v>0</v>
      </c>
      <c r="D46" s="17">
        <v>58844</v>
      </c>
      <c r="E46" s="17">
        <v>58844</v>
      </c>
      <c r="F46" s="17">
        <v>63636</v>
      </c>
      <c r="G46" s="18">
        <f>IF(AND(F65&lt;&gt;0,63636&lt;&gt;0),IF(100*63636/(F65-0)&lt;0.005,"*",100*63636/(F65-0)),0)</f>
        <v>1.87244339798632</v>
      </c>
    </row>
    <row r="47" spans="1:7" ht="12.75">
      <c r="A47" s="11" t="s">
        <v>129</v>
      </c>
      <c r="B47" s="17">
        <v>10175</v>
      </c>
      <c r="C47" s="17">
        <v>0</v>
      </c>
      <c r="D47" s="17">
        <v>10394</v>
      </c>
      <c r="E47" s="17">
        <v>10394</v>
      </c>
      <c r="F47" s="17">
        <v>11185</v>
      </c>
      <c r="G47" s="18">
        <f>IF(AND(F65&lt;&gt;0,11185&lt;&gt;0),IF(100*11185/(F65-0)&lt;0.005,"*",100*11185/(F65-0)),0)</f>
        <v>0.32911055701924996</v>
      </c>
    </row>
    <row r="48" spans="1:7" ht="12.75">
      <c r="A48" s="11" t="s">
        <v>130</v>
      </c>
      <c r="B48" s="17">
        <v>58728</v>
      </c>
      <c r="C48" s="17">
        <v>0</v>
      </c>
      <c r="D48" s="17">
        <v>73971</v>
      </c>
      <c r="E48" s="17">
        <v>73971</v>
      </c>
      <c r="F48" s="17">
        <v>79484</v>
      </c>
      <c r="G48" s="18">
        <f>IF(AND(F65&lt;&gt;0,79484&lt;&gt;0),IF(100*79484/(F65-0)&lt;0.005,"*",100*79484/(F65-0)),0)</f>
        <v>2.3387593664835102</v>
      </c>
    </row>
    <row r="49" spans="1:7" ht="12.75">
      <c r="A49" s="11" t="s">
        <v>131</v>
      </c>
      <c r="B49" s="17">
        <v>241853</v>
      </c>
      <c r="C49" s="17">
        <v>0</v>
      </c>
      <c r="D49" s="17">
        <v>243140</v>
      </c>
      <c r="E49" s="17">
        <v>243140</v>
      </c>
      <c r="F49" s="17">
        <v>265326</v>
      </c>
      <c r="G49" s="18">
        <f>IF(AND(F65&lt;&gt;0,265326&lt;&gt;0),IF(100*265326/(F65-0)&lt;0.005,"*",100*265326/(F65-0)),0)</f>
        <v>7.807026164657087</v>
      </c>
    </row>
    <row r="50" spans="1:7" ht="12.75">
      <c r="A50" s="11" t="s">
        <v>132</v>
      </c>
      <c r="B50" s="17">
        <v>40691</v>
      </c>
      <c r="C50" s="17">
        <v>0</v>
      </c>
      <c r="D50" s="17">
        <v>32465</v>
      </c>
      <c r="E50" s="17">
        <v>32465</v>
      </c>
      <c r="F50" s="17">
        <v>35476</v>
      </c>
      <c r="G50" s="18">
        <f>IF(AND(F65&lt;&gt;0,35476&lt;&gt;0),IF(100*35476/(F65-0)&lt;0.005,"*",100*35476/(F65-0)),0)</f>
        <v>1.0438557103991875</v>
      </c>
    </row>
    <row r="51" spans="1:7" ht="12.75">
      <c r="A51" s="11" t="s">
        <v>133</v>
      </c>
      <c r="B51" s="17">
        <v>16355</v>
      </c>
      <c r="C51" s="17">
        <v>0</v>
      </c>
      <c r="D51" s="17">
        <v>10394</v>
      </c>
      <c r="E51" s="17">
        <v>10394</v>
      </c>
      <c r="F51" s="17">
        <v>11185</v>
      </c>
      <c r="G51" s="18">
        <f>IF(AND(F65&lt;&gt;0,11185&lt;&gt;0),IF(100*11185/(F65-0)&lt;0.005,"*",100*11185/(F65-0)),0)</f>
        <v>0.32911055701924996</v>
      </c>
    </row>
    <row r="52" spans="1:7" ht="12.75">
      <c r="A52" s="11" t="s">
        <v>134</v>
      </c>
      <c r="B52" s="17">
        <v>77319</v>
      </c>
      <c r="C52" s="17">
        <v>0</v>
      </c>
      <c r="D52" s="17">
        <v>66800</v>
      </c>
      <c r="E52" s="17">
        <v>66800</v>
      </c>
      <c r="F52" s="17">
        <v>71715</v>
      </c>
      <c r="G52" s="18">
        <f>IF(AND(F65&lt;&gt;0,71715&lt;&gt;0),IF(100*71715/(F65-0)&lt;0.005,"*",100*71715/(F65-0)),0)</f>
        <v>2.110162145430086</v>
      </c>
    </row>
    <row r="53" spans="1:7" ht="12.75">
      <c r="A53" s="11" t="s">
        <v>135</v>
      </c>
      <c r="B53" s="17">
        <v>54970</v>
      </c>
      <c r="C53" s="17">
        <v>0</v>
      </c>
      <c r="D53" s="17">
        <v>56324</v>
      </c>
      <c r="E53" s="17">
        <v>56324</v>
      </c>
      <c r="F53" s="17">
        <v>61258</v>
      </c>
      <c r="G53" s="18">
        <f>IF(AND(F65&lt;&gt;0,61258&lt;&gt;0),IF(100*61258/(F65-0)&lt;0.005,"*",100*61258/(F65-0)),0)</f>
        <v>1.8024724632887987</v>
      </c>
    </row>
    <row r="54" spans="1:7" ht="12.75">
      <c r="A54" s="11" t="s">
        <v>136</v>
      </c>
      <c r="B54" s="17">
        <v>40731</v>
      </c>
      <c r="C54" s="17">
        <v>0</v>
      </c>
      <c r="D54" s="17">
        <v>25790</v>
      </c>
      <c r="E54" s="17">
        <v>25790</v>
      </c>
      <c r="F54" s="17">
        <v>27320</v>
      </c>
      <c r="G54" s="18">
        <f>IF(AND(F65&lt;&gt;0,27320&lt;&gt;0),IF(100*27320/(F65-0)&lt;0.005,"*",100*27320/(F65-0)),0)</f>
        <v>0.8038712934971756</v>
      </c>
    </row>
    <row r="55" spans="1:7" ht="12.75">
      <c r="A55" s="11" t="s">
        <v>137</v>
      </c>
      <c r="B55" s="17">
        <v>64836</v>
      </c>
      <c r="C55" s="17">
        <v>0</v>
      </c>
      <c r="D55" s="17">
        <v>59871</v>
      </c>
      <c r="E55" s="17">
        <v>59871</v>
      </c>
      <c r="F55" s="17">
        <v>63959</v>
      </c>
      <c r="G55" s="18">
        <f>IF(AND(F65&lt;&gt;0,63959&lt;&gt;0),IF(100*63959/(F65-0)&lt;0.005,"*",100*63959/(F65-0)),0)</f>
        <v>1.8819474399994822</v>
      </c>
    </row>
    <row r="56" spans="1:7" ht="12.75">
      <c r="A56" s="11" t="s">
        <v>138</v>
      </c>
      <c r="B56" s="17">
        <v>9248</v>
      </c>
      <c r="C56" s="17">
        <v>0</v>
      </c>
      <c r="D56" s="17">
        <v>10394</v>
      </c>
      <c r="E56" s="17">
        <v>10394</v>
      </c>
      <c r="F56" s="17">
        <v>11185</v>
      </c>
      <c r="G56" s="18">
        <f>IF(AND(F65&lt;&gt;0,11185&lt;&gt;0),IF(100*11185/(F65-0)&lt;0.005,"*",100*11185/(F65-0)),0)</f>
        <v>0.32911055701924996</v>
      </c>
    </row>
    <row r="57" spans="1:7" ht="12.75">
      <c r="A57" s="11" t="s">
        <v>139</v>
      </c>
      <c r="B57" s="17">
        <v>922</v>
      </c>
      <c r="C57" s="17">
        <v>0</v>
      </c>
      <c r="D57" s="17">
        <v>933</v>
      </c>
      <c r="E57" s="17">
        <v>933</v>
      </c>
      <c r="F57" s="17">
        <v>997</v>
      </c>
      <c r="G57" s="18">
        <f>IF(AND(F65&lt;&gt;0,997&lt;&gt;0),IF(100*997/(F65-0)&lt;0.005,"*",100*997/(F65-0)),0)</f>
        <v>0.029336005842484775</v>
      </c>
    </row>
    <row r="58" spans="1:7" ht="12.75">
      <c r="A58" s="11" t="s">
        <v>140</v>
      </c>
      <c r="B58" s="17">
        <v>2709</v>
      </c>
      <c r="C58" s="17">
        <v>0</v>
      </c>
      <c r="D58" s="17">
        <v>2885</v>
      </c>
      <c r="E58" s="17">
        <v>2885</v>
      </c>
      <c r="F58" s="17">
        <v>3093</v>
      </c>
      <c r="G58" s="18">
        <f>IF(AND(F65&lt;&gt;0,3093&lt;&gt;0),IF(100*3093/(F65-0)&lt;0.005,"*",100*3093/(F65-0)),0)</f>
        <v>0.0910092939526634</v>
      </c>
    </row>
    <row r="59" spans="1:7" ht="12.75">
      <c r="A59" s="11" t="s">
        <v>141</v>
      </c>
      <c r="B59" s="17">
        <v>800</v>
      </c>
      <c r="C59" s="17">
        <v>0</v>
      </c>
      <c r="D59" s="17">
        <v>817</v>
      </c>
      <c r="E59" s="17">
        <v>817</v>
      </c>
      <c r="F59" s="17">
        <v>893</v>
      </c>
      <c r="G59" s="18">
        <f>IF(AND(F65&lt;&gt;0,893&lt;&gt;0),IF(100*893/(F65-0)&lt;0.005,"*",100*893/(F65-0)),0)</f>
        <v>0.02627588085991866</v>
      </c>
    </row>
    <row r="60" spans="1:7" ht="12.75">
      <c r="A60" s="11" t="s">
        <v>142</v>
      </c>
      <c r="B60" s="17">
        <v>59539</v>
      </c>
      <c r="C60" s="17">
        <v>0</v>
      </c>
      <c r="D60" s="17">
        <v>69213</v>
      </c>
      <c r="E60" s="17">
        <v>69213</v>
      </c>
      <c r="F60" s="17">
        <v>72464</v>
      </c>
      <c r="G60" s="18">
        <f>IF(AND(F65&lt;&gt;0,72464&lt;&gt;0),IF(100*72464/(F65-0)&lt;0.005,"*",100*72464/(F65-0)),0)</f>
        <v>2.1322009301602978</v>
      </c>
    </row>
    <row r="61" spans="1:7" ht="12.75">
      <c r="A61" s="11" t="s">
        <v>143</v>
      </c>
      <c r="B61" s="17">
        <v>0</v>
      </c>
      <c r="C61" s="17">
        <v>0</v>
      </c>
      <c r="D61" s="17">
        <v>0</v>
      </c>
      <c r="E61" s="17">
        <v>0</v>
      </c>
      <c r="F61" s="17">
        <v>0</v>
      </c>
      <c r="G61" s="18">
        <f>IF(AND(F65&lt;&gt;0,0&lt;&gt;0),IF(100*0/(F65-0)&lt;0.005,"*",100*0/(F65-0)),0)</f>
        <v>0</v>
      </c>
    </row>
    <row r="62" spans="1:7" ht="12.75">
      <c r="A62" s="11" t="s">
        <v>144</v>
      </c>
      <c r="B62" s="17">
        <v>1985</v>
      </c>
      <c r="C62" s="17">
        <v>0</v>
      </c>
      <c r="D62" s="17">
        <v>2005</v>
      </c>
      <c r="E62" s="17">
        <v>2005</v>
      </c>
      <c r="F62" s="17">
        <v>2123</v>
      </c>
      <c r="G62" s="18">
        <f>IF(AND(F65&lt;&gt;0,2123&lt;&gt;0),IF(100*2123/(F65-0)&lt;0.005,"*",100*2123/(F65-0)),0)</f>
        <v>0.062467743634498675</v>
      </c>
    </row>
    <row r="63" spans="1:7" ht="12.75">
      <c r="A63" s="11" t="s">
        <v>145</v>
      </c>
      <c r="B63" s="17">
        <v>39160</v>
      </c>
      <c r="C63" s="17">
        <v>0</v>
      </c>
      <c r="D63" s="17">
        <v>43000</v>
      </c>
      <c r="E63" s="17">
        <v>43000</v>
      </c>
      <c r="F63" s="17">
        <v>43100</v>
      </c>
      <c r="G63" s="18">
        <f>IF(AND(F65&lt;&gt;0,43100&lt;&gt;0),IF(100*43100/(F65-0)&lt;0.005,"*",100*43100/(F65-0)),0)</f>
        <v>1.2681864110442265</v>
      </c>
    </row>
    <row r="64" spans="1:7" ht="12.75">
      <c r="A64" s="11" t="s">
        <v>146</v>
      </c>
      <c r="B64" s="17">
        <v>28495</v>
      </c>
      <c r="C64" s="17">
        <v>0</v>
      </c>
      <c r="D64" s="17">
        <v>0</v>
      </c>
      <c r="E64" s="17">
        <v>0</v>
      </c>
      <c r="F64" s="17">
        <v>0</v>
      </c>
      <c r="G64" s="18">
        <v>0</v>
      </c>
    </row>
    <row r="65" spans="1:7" ht="15" customHeight="1">
      <c r="A65" s="19" t="s">
        <v>87</v>
      </c>
      <c r="B65" s="20" t="s">
        <v>405</v>
      </c>
      <c r="C65" s="20">
        <f>0+0+0+0+0+0+0+0+0+0+0+0+0+0+0+0+0+0+0+0+0+0+0+0+0+0+0+0+0+0+0+0+0+0+0+0+0+0+0+0+0+0+0+0+0+0+0+0+0+0+0+0+0+0+0+0+0+0+0+0</f>
        <v>0</v>
      </c>
      <c r="D65" s="20" t="s">
        <v>407</v>
      </c>
      <c r="E65" s="20">
        <f>SUM(C65:D65)</f>
        <v>0</v>
      </c>
      <c r="F65" s="20">
        <f>66337+11185+75242+40227+327770+47460+22447+11185+15113+200466+118641+13296+20350+120457+81452+33671+29863+60311+58867+16840+44876+50837+117983+51544+45702+72285+12393+18927+28250+11549+63863+26778+155748+118740+11185+138070+44742+44801+133517+11185+63636+11185+79484+265326+35476+11185+71715+61258+27320+63959+11185+997+3093+893+72464+0+2123+43100+0+0</f>
        <v>3398554</v>
      </c>
      <c r="G65" s="21" t="s">
        <v>201</v>
      </c>
    </row>
    <row r="66" spans="1:7" ht="15" customHeight="1">
      <c r="A66" s="33" t="s">
        <v>148</v>
      </c>
      <c r="B66" s="33"/>
      <c r="C66" s="33"/>
      <c r="D66" s="33"/>
      <c r="E66" s="33"/>
      <c r="F66" s="33"/>
      <c r="G66" s="33"/>
    </row>
    <row r="67" spans="1:7" ht="12.75">
      <c r="A67" s="34" t="s">
        <v>406</v>
      </c>
      <c r="B67" s="34"/>
      <c r="C67" s="34"/>
      <c r="D67" s="34"/>
      <c r="E67" s="34"/>
      <c r="F67" s="34"/>
      <c r="G67" s="34"/>
    </row>
    <row r="68" spans="1:7" ht="12.75">
      <c r="A68" s="34" t="s">
        <v>408</v>
      </c>
      <c r="B68" s="34"/>
      <c r="C68" s="34"/>
      <c r="D68" s="34"/>
      <c r="E68" s="34"/>
      <c r="F68" s="34"/>
      <c r="G68" s="34"/>
    </row>
    <row r="69" spans="1:7" ht="15" customHeight="1">
      <c r="A69" s="26" t="s">
        <v>202</v>
      </c>
      <c r="B69" s="26"/>
      <c r="C69" s="26"/>
      <c r="D69" s="26"/>
      <c r="E69" s="26"/>
      <c r="F69" s="26"/>
      <c r="G69" s="26"/>
    </row>
  </sheetData>
  <sheetProtection/>
  <mergeCells count="8">
    <mergeCell ref="A68:G68"/>
    <mergeCell ref="A69:G69"/>
    <mergeCell ref="A4:A5"/>
    <mergeCell ref="B4:B5"/>
    <mergeCell ref="F4:F5"/>
    <mergeCell ref="G4:G5"/>
    <mergeCell ref="A66:G66"/>
    <mergeCell ref="A67:G67"/>
  </mergeCells>
  <printOptions/>
  <pageMargins left="0.7" right="0.7" top="0.75" bottom="0.75" header="0.3" footer="0.3"/>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G66"/>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167</v>
      </c>
      <c r="B1" s="10"/>
      <c r="C1" s="10"/>
      <c r="D1" s="10"/>
      <c r="E1" s="10"/>
      <c r="F1" s="10"/>
      <c r="G1" s="12" t="s">
        <v>168</v>
      </c>
    </row>
    <row r="2" spans="1:7" ht="12.75">
      <c r="A2" s="13" t="s">
        <v>169</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0</v>
      </c>
      <c r="C6" s="17">
        <v>0</v>
      </c>
      <c r="D6" s="17">
        <v>0</v>
      </c>
      <c r="E6" s="17">
        <v>0</v>
      </c>
      <c r="F6" s="17">
        <v>0</v>
      </c>
      <c r="G6" s="18">
        <f>IF(AND(F65&lt;&gt;0,0&lt;&gt;0),IF(100*0/(F65-0)&lt;0.005,"*",100*0/(F65-0)),0)</f>
        <v>0</v>
      </c>
    </row>
    <row r="7" spans="1:7" ht="12.75">
      <c r="A7" s="11" t="s">
        <v>89</v>
      </c>
      <c r="B7" s="17">
        <v>0</v>
      </c>
      <c r="C7" s="17">
        <v>0</v>
      </c>
      <c r="D7" s="17">
        <v>0</v>
      </c>
      <c r="E7" s="17">
        <v>0</v>
      </c>
      <c r="F7" s="17">
        <v>0</v>
      </c>
      <c r="G7" s="18">
        <f>IF(AND(F65&lt;&gt;0,0&lt;&gt;0),IF(100*0/(F65-0)&lt;0.005,"*",100*0/(F65-0)),0)</f>
        <v>0</v>
      </c>
    </row>
    <row r="8" spans="1:7" ht="12.75">
      <c r="A8" s="11" t="s">
        <v>90</v>
      </c>
      <c r="B8" s="17">
        <v>0</v>
      </c>
      <c r="C8" s="17">
        <v>0</v>
      </c>
      <c r="D8" s="17">
        <v>0</v>
      </c>
      <c r="E8" s="17">
        <v>0</v>
      </c>
      <c r="F8" s="17">
        <v>0</v>
      </c>
      <c r="G8" s="18">
        <f>IF(AND(F65&lt;&gt;0,0&lt;&gt;0),IF(100*0/(F65-0)&lt;0.005,"*",100*0/(F65-0)),0)</f>
        <v>0</v>
      </c>
    </row>
    <row r="9" spans="1:7" ht="12.75">
      <c r="A9" s="11" t="s">
        <v>91</v>
      </c>
      <c r="B9" s="17">
        <v>99889</v>
      </c>
      <c r="C9" s="17">
        <v>0</v>
      </c>
      <c r="D9" s="17">
        <v>0</v>
      </c>
      <c r="E9" s="17">
        <v>0</v>
      </c>
      <c r="F9" s="17">
        <v>0</v>
      </c>
      <c r="G9" s="18">
        <f>IF(AND(F65&lt;&gt;0,0&lt;&gt;0),IF(100*0/(F65-0)&lt;0.005,"*",100*0/(F65-0)),0)</f>
        <v>0</v>
      </c>
    </row>
    <row r="10" spans="1:7" ht="12.75">
      <c r="A10" s="11" t="s">
        <v>92</v>
      </c>
      <c r="B10" s="17">
        <v>0</v>
      </c>
      <c r="C10" s="17">
        <v>0</v>
      </c>
      <c r="D10" s="17">
        <v>0</v>
      </c>
      <c r="E10" s="17">
        <v>0</v>
      </c>
      <c r="F10" s="17">
        <v>0</v>
      </c>
      <c r="G10" s="18">
        <f>IF(AND(F65&lt;&gt;0,0&lt;&gt;0),IF(100*0/(F65-0)&lt;0.005,"*",100*0/(F65-0)),0)</f>
        <v>0</v>
      </c>
    </row>
    <row r="11" spans="1:7" ht="12.75">
      <c r="A11" s="11" t="s">
        <v>93</v>
      </c>
      <c r="B11" s="17">
        <v>6056</v>
      </c>
      <c r="C11" s="17">
        <v>0</v>
      </c>
      <c r="D11" s="17">
        <v>0</v>
      </c>
      <c r="E11" s="17">
        <v>0</v>
      </c>
      <c r="F11" s="17">
        <v>0</v>
      </c>
      <c r="G11" s="18">
        <f>IF(AND(F65&lt;&gt;0,0&lt;&gt;0),IF(100*0/(F65-0)&lt;0.005,"*",100*0/(F65-0)),0)</f>
        <v>0</v>
      </c>
    </row>
    <row r="12" spans="1:7" ht="12.75">
      <c r="A12" s="11" t="s">
        <v>94</v>
      </c>
      <c r="B12" s="17">
        <v>11404</v>
      </c>
      <c r="C12" s="17">
        <v>0</v>
      </c>
      <c r="D12" s="17">
        <v>0</v>
      </c>
      <c r="E12" s="17">
        <v>0</v>
      </c>
      <c r="F12" s="17">
        <v>0</v>
      </c>
      <c r="G12" s="18">
        <f>IF(AND(F65&lt;&gt;0,0&lt;&gt;0),IF(100*0/(F65-0)&lt;0.005,"*",100*0/(F65-0)),0)</f>
        <v>0</v>
      </c>
    </row>
    <row r="13" spans="1:7" ht="12.75">
      <c r="A13" s="11" t="s">
        <v>95</v>
      </c>
      <c r="B13" s="17">
        <v>978</v>
      </c>
      <c r="C13" s="17">
        <v>0</v>
      </c>
      <c r="D13" s="17">
        <v>0</v>
      </c>
      <c r="E13" s="17">
        <v>0</v>
      </c>
      <c r="F13" s="17">
        <v>0</v>
      </c>
      <c r="G13" s="18">
        <f>IF(AND(F65&lt;&gt;0,0&lt;&gt;0),IF(100*0/(F65-0)&lt;0.005,"*",100*0/(F65-0)),0)</f>
        <v>0</v>
      </c>
    </row>
    <row r="14" spans="1:7" ht="12.75">
      <c r="A14" s="11" t="s">
        <v>96</v>
      </c>
      <c r="B14" s="17">
        <v>27750</v>
      </c>
      <c r="C14" s="17">
        <v>0</v>
      </c>
      <c r="D14" s="17">
        <v>0</v>
      </c>
      <c r="E14" s="17">
        <v>0</v>
      </c>
      <c r="F14" s="17">
        <v>0</v>
      </c>
      <c r="G14" s="18">
        <f>IF(AND(F65&lt;&gt;0,0&lt;&gt;0),IF(100*0/(F65-0)&lt;0.005,"*",100*0/(F65-0)),0)</f>
        <v>0</v>
      </c>
    </row>
    <row r="15" spans="1:7" ht="12.75">
      <c r="A15" s="11" t="s">
        <v>97</v>
      </c>
      <c r="B15" s="17">
        <v>0</v>
      </c>
      <c r="C15" s="17">
        <v>0</v>
      </c>
      <c r="D15" s="17">
        <v>0</v>
      </c>
      <c r="E15" s="17">
        <v>0</v>
      </c>
      <c r="F15" s="17">
        <v>0</v>
      </c>
      <c r="G15" s="18">
        <f>IF(AND(F65&lt;&gt;0,0&lt;&gt;0),IF(100*0/(F65-0)&lt;0.005,"*",100*0/(F65-0)),0)</f>
        <v>0</v>
      </c>
    </row>
    <row r="16" spans="1:7" ht="12.75">
      <c r="A16" s="11" t="s">
        <v>98</v>
      </c>
      <c r="B16" s="17">
        <v>0</v>
      </c>
      <c r="C16" s="17">
        <v>0</v>
      </c>
      <c r="D16" s="17">
        <v>0</v>
      </c>
      <c r="E16" s="17">
        <v>0</v>
      </c>
      <c r="F16" s="17">
        <v>0</v>
      </c>
      <c r="G16" s="18">
        <f>IF(AND(F65&lt;&gt;0,0&lt;&gt;0),IF(100*0/(F65-0)&lt;0.005,"*",100*0/(F65-0)),0)</f>
        <v>0</v>
      </c>
    </row>
    <row r="17" spans="1:7" ht="12.75">
      <c r="A17" s="11" t="s">
        <v>99</v>
      </c>
      <c r="B17" s="17">
        <v>0</v>
      </c>
      <c r="C17" s="17">
        <v>0</v>
      </c>
      <c r="D17" s="17">
        <v>0</v>
      </c>
      <c r="E17" s="17">
        <v>0</v>
      </c>
      <c r="F17" s="17">
        <v>0</v>
      </c>
      <c r="G17" s="18">
        <f>IF(AND(F65&lt;&gt;0,0&lt;&gt;0),IF(100*0/(F65-0)&lt;0.005,"*",100*0/(F65-0)),0)</f>
        <v>0</v>
      </c>
    </row>
    <row r="18" spans="1:7" ht="12.75">
      <c r="A18" s="11" t="s">
        <v>100</v>
      </c>
      <c r="B18" s="17">
        <v>35897</v>
      </c>
      <c r="C18" s="17">
        <v>0</v>
      </c>
      <c r="D18" s="17">
        <v>0</v>
      </c>
      <c r="E18" s="17">
        <v>0</v>
      </c>
      <c r="F18" s="17">
        <v>0</v>
      </c>
      <c r="G18" s="18">
        <f>IF(AND(F65&lt;&gt;0,0&lt;&gt;0),IF(100*0/(F65-0)&lt;0.005,"*",100*0/(F65-0)),0)</f>
        <v>0</v>
      </c>
    </row>
    <row r="19" spans="1:7" ht="12.75">
      <c r="A19" s="11" t="s">
        <v>101</v>
      </c>
      <c r="B19" s="17">
        <v>10089</v>
      </c>
      <c r="C19" s="17">
        <v>0</v>
      </c>
      <c r="D19" s="17">
        <v>0</v>
      </c>
      <c r="E19" s="17">
        <v>0</v>
      </c>
      <c r="F19" s="17">
        <v>0</v>
      </c>
      <c r="G19" s="18">
        <f>IF(AND(F65&lt;&gt;0,0&lt;&gt;0),IF(100*0/(F65-0)&lt;0.005,"*",100*0/(F65-0)),0)</f>
        <v>0</v>
      </c>
    </row>
    <row r="20" spans="1:7" ht="12.75">
      <c r="A20" s="11" t="s">
        <v>102</v>
      </c>
      <c r="B20" s="17">
        <v>0</v>
      </c>
      <c r="C20" s="17">
        <v>0</v>
      </c>
      <c r="D20" s="17">
        <v>0</v>
      </c>
      <c r="E20" s="17">
        <v>0</v>
      </c>
      <c r="F20" s="17">
        <v>0</v>
      </c>
      <c r="G20" s="18">
        <f>IF(AND(F65&lt;&gt;0,0&lt;&gt;0),IF(100*0/(F65-0)&lt;0.005,"*",100*0/(F65-0)),0)</f>
        <v>0</v>
      </c>
    </row>
    <row r="21" spans="1:7" ht="12.75">
      <c r="A21" s="11" t="s">
        <v>103</v>
      </c>
      <c r="B21" s="17">
        <v>0</v>
      </c>
      <c r="C21" s="17">
        <v>0</v>
      </c>
      <c r="D21" s="17">
        <v>0</v>
      </c>
      <c r="E21" s="17">
        <v>0</v>
      </c>
      <c r="F21" s="17">
        <v>0</v>
      </c>
      <c r="G21" s="18">
        <f>IF(AND(F65&lt;&gt;0,0&lt;&gt;0),IF(100*0/(F65-0)&lt;0.005,"*",100*0/(F65-0)),0)</f>
        <v>0</v>
      </c>
    </row>
    <row r="22" spans="1:7" ht="12.75">
      <c r="A22" s="11" t="s">
        <v>104</v>
      </c>
      <c r="B22" s="17">
        <v>0</v>
      </c>
      <c r="C22" s="17">
        <v>0</v>
      </c>
      <c r="D22" s="17">
        <v>0</v>
      </c>
      <c r="E22" s="17">
        <v>0</v>
      </c>
      <c r="F22" s="17">
        <v>0</v>
      </c>
      <c r="G22" s="18">
        <f>IF(AND(F65&lt;&gt;0,0&lt;&gt;0),IF(100*0/(F65-0)&lt;0.005,"*",100*0/(F65-0)),0)</f>
        <v>0</v>
      </c>
    </row>
    <row r="23" spans="1:7" ht="12.75">
      <c r="A23" s="11" t="s">
        <v>105</v>
      </c>
      <c r="B23" s="17">
        <v>35605</v>
      </c>
      <c r="C23" s="17">
        <v>0</v>
      </c>
      <c r="D23" s="17">
        <v>0</v>
      </c>
      <c r="E23" s="17">
        <v>0</v>
      </c>
      <c r="F23" s="17">
        <v>0</v>
      </c>
      <c r="G23" s="18">
        <f>IF(AND(F65&lt;&gt;0,0&lt;&gt;0),IF(100*0/(F65-0)&lt;0.005,"*",100*0/(F65-0)),0)</f>
        <v>0</v>
      </c>
    </row>
    <row r="24" spans="1:7" ht="12.75">
      <c r="A24" s="11" t="s">
        <v>106</v>
      </c>
      <c r="B24" s="17">
        <v>0</v>
      </c>
      <c r="C24" s="17">
        <v>0</v>
      </c>
      <c r="D24" s="17">
        <v>0</v>
      </c>
      <c r="E24" s="17">
        <v>0</v>
      </c>
      <c r="F24" s="17">
        <v>0</v>
      </c>
      <c r="G24" s="18">
        <f>IF(AND(F65&lt;&gt;0,0&lt;&gt;0),IF(100*0/(F65-0)&lt;0.005,"*",100*0/(F65-0)),0)</f>
        <v>0</v>
      </c>
    </row>
    <row r="25" spans="1:7" ht="12.75">
      <c r="A25" s="11" t="s">
        <v>107</v>
      </c>
      <c r="B25" s="17">
        <v>0</v>
      </c>
      <c r="C25" s="17">
        <v>0</v>
      </c>
      <c r="D25" s="17">
        <v>0</v>
      </c>
      <c r="E25" s="17">
        <v>0</v>
      </c>
      <c r="F25" s="17">
        <v>0</v>
      </c>
      <c r="G25" s="18">
        <f>IF(AND(F65&lt;&gt;0,0&lt;&gt;0),IF(100*0/(F65-0)&lt;0.005,"*",100*0/(F65-0)),0)</f>
        <v>0</v>
      </c>
    </row>
    <row r="26" spans="1:7" ht="12.75">
      <c r="A26" s="11" t="s">
        <v>108</v>
      </c>
      <c r="B26" s="17">
        <v>7948</v>
      </c>
      <c r="C26" s="17">
        <v>0</v>
      </c>
      <c r="D26" s="17">
        <v>0</v>
      </c>
      <c r="E26" s="17">
        <v>0</v>
      </c>
      <c r="F26" s="17">
        <v>0</v>
      </c>
      <c r="G26" s="18">
        <f>IF(AND(F65&lt;&gt;0,0&lt;&gt;0),IF(100*0/(F65-0)&lt;0.005,"*",100*0/(F65-0)),0)</f>
        <v>0</v>
      </c>
    </row>
    <row r="27" spans="1:7" ht="12.75">
      <c r="A27" s="11" t="s">
        <v>109</v>
      </c>
      <c r="B27" s="17">
        <v>26926</v>
      </c>
      <c r="C27" s="17">
        <v>0</v>
      </c>
      <c r="D27" s="17">
        <v>0</v>
      </c>
      <c r="E27" s="17">
        <v>0</v>
      </c>
      <c r="F27" s="17">
        <v>0</v>
      </c>
      <c r="G27" s="18">
        <f>IF(AND(F65&lt;&gt;0,0&lt;&gt;0),IF(100*0/(F65-0)&lt;0.005,"*",100*0/(F65-0)),0)</f>
        <v>0</v>
      </c>
    </row>
    <row r="28" spans="1:7" ht="12.75">
      <c r="A28" s="11" t="s">
        <v>110</v>
      </c>
      <c r="B28" s="17">
        <v>0</v>
      </c>
      <c r="C28" s="17">
        <v>0</v>
      </c>
      <c r="D28" s="17">
        <v>0</v>
      </c>
      <c r="E28" s="17">
        <v>0</v>
      </c>
      <c r="F28" s="17">
        <v>0</v>
      </c>
      <c r="G28" s="18">
        <f>IF(AND(F65&lt;&gt;0,0&lt;&gt;0),IF(100*0/(F65-0)&lt;0.005,"*",100*0/(F65-0)),0)</f>
        <v>0</v>
      </c>
    </row>
    <row r="29" spans="1:7" ht="12.75">
      <c r="A29" s="11" t="s">
        <v>111</v>
      </c>
      <c r="B29" s="17">
        <v>34343</v>
      </c>
      <c r="C29" s="17">
        <v>0</v>
      </c>
      <c r="D29" s="17">
        <v>0</v>
      </c>
      <c r="E29" s="17">
        <v>0</v>
      </c>
      <c r="F29" s="17">
        <v>0</v>
      </c>
      <c r="G29" s="18">
        <f>IF(AND(F65&lt;&gt;0,0&lt;&gt;0),IF(100*0/(F65-0)&lt;0.005,"*",100*0/(F65-0)),0)</f>
        <v>0</v>
      </c>
    </row>
    <row r="30" spans="1:7" ht="12.75">
      <c r="A30" s="11" t="s">
        <v>112</v>
      </c>
      <c r="B30" s="17">
        <v>0</v>
      </c>
      <c r="C30" s="17">
        <v>0</v>
      </c>
      <c r="D30" s="17">
        <v>0</v>
      </c>
      <c r="E30" s="17">
        <v>0</v>
      </c>
      <c r="F30" s="17">
        <v>0</v>
      </c>
      <c r="G30" s="18">
        <f>IF(AND(F65&lt;&gt;0,0&lt;&gt;0),IF(100*0/(F65-0)&lt;0.005,"*",100*0/(F65-0)),0)</f>
        <v>0</v>
      </c>
    </row>
    <row r="31" spans="1:7" ht="12.75">
      <c r="A31" s="11" t="s">
        <v>113</v>
      </c>
      <c r="B31" s="17">
        <v>0</v>
      </c>
      <c r="C31" s="17">
        <v>0</v>
      </c>
      <c r="D31" s="17">
        <v>0</v>
      </c>
      <c r="E31" s="17">
        <v>0</v>
      </c>
      <c r="F31" s="17">
        <v>0</v>
      </c>
      <c r="G31" s="18">
        <f>IF(AND(F65&lt;&gt;0,0&lt;&gt;0),IF(100*0/(F65-0)&lt;0.005,"*",100*0/(F65-0)),0)</f>
        <v>0</v>
      </c>
    </row>
    <row r="32" spans="1:7" ht="12.75">
      <c r="A32" s="11" t="s">
        <v>114</v>
      </c>
      <c r="B32" s="17">
        <v>0</v>
      </c>
      <c r="C32" s="17">
        <v>0</v>
      </c>
      <c r="D32" s="17">
        <v>0</v>
      </c>
      <c r="E32" s="17">
        <v>0</v>
      </c>
      <c r="F32" s="17">
        <v>0</v>
      </c>
      <c r="G32" s="18">
        <f>IF(AND(F65&lt;&gt;0,0&lt;&gt;0),IF(100*0/(F65-0)&lt;0.005,"*",100*0/(F65-0)),0)</f>
        <v>0</v>
      </c>
    </row>
    <row r="33" spans="1:7" ht="12.75">
      <c r="A33" s="11" t="s">
        <v>115</v>
      </c>
      <c r="B33" s="17">
        <v>0</v>
      </c>
      <c r="C33" s="17">
        <v>0</v>
      </c>
      <c r="D33" s="17">
        <v>0</v>
      </c>
      <c r="E33" s="17">
        <v>0</v>
      </c>
      <c r="F33" s="17">
        <v>0</v>
      </c>
      <c r="G33" s="18">
        <f>IF(AND(F65&lt;&gt;0,0&lt;&gt;0),IF(100*0/(F65-0)&lt;0.005,"*",100*0/(F65-0)),0)</f>
        <v>0</v>
      </c>
    </row>
    <row r="34" spans="1:7" ht="12.75">
      <c r="A34" s="11" t="s">
        <v>116</v>
      </c>
      <c r="B34" s="17">
        <v>0</v>
      </c>
      <c r="C34" s="17">
        <v>0</v>
      </c>
      <c r="D34" s="17">
        <v>0</v>
      </c>
      <c r="E34" s="17">
        <v>0</v>
      </c>
      <c r="F34" s="17">
        <v>0</v>
      </c>
      <c r="G34" s="18">
        <f>IF(AND(F65&lt;&gt;0,0&lt;&gt;0),IF(100*0/(F65-0)&lt;0.005,"*",100*0/(F65-0)),0)</f>
        <v>0</v>
      </c>
    </row>
    <row r="35" spans="1:7" ht="12.75">
      <c r="A35" s="11" t="s">
        <v>117</v>
      </c>
      <c r="B35" s="17">
        <v>3386</v>
      </c>
      <c r="C35" s="17">
        <v>0</v>
      </c>
      <c r="D35" s="17">
        <v>0</v>
      </c>
      <c r="E35" s="17">
        <v>0</v>
      </c>
      <c r="F35" s="17">
        <v>0</v>
      </c>
      <c r="G35" s="18">
        <f>IF(AND(F65&lt;&gt;0,0&lt;&gt;0),IF(100*0/(F65-0)&lt;0.005,"*",100*0/(F65-0)),0)</f>
        <v>0</v>
      </c>
    </row>
    <row r="36" spans="1:7" ht="12.75">
      <c r="A36" s="11" t="s">
        <v>118</v>
      </c>
      <c r="B36" s="17">
        <v>0</v>
      </c>
      <c r="C36" s="17">
        <v>0</v>
      </c>
      <c r="D36" s="17">
        <v>0</v>
      </c>
      <c r="E36" s="17">
        <v>0</v>
      </c>
      <c r="F36" s="17">
        <v>0</v>
      </c>
      <c r="G36" s="18">
        <f>IF(AND(F65&lt;&gt;0,0&lt;&gt;0),IF(100*0/(F65-0)&lt;0.005,"*",100*0/(F65-0)),0)</f>
        <v>0</v>
      </c>
    </row>
    <row r="37" spans="1:7" ht="12.75">
      <c r="A37" s="11" t="s">
        <v>119</v>
      </c>
      <c r="B37" s="17">
        <v>0</v>
      </c>
      <c r="C37" s="17">
        <v>0</v>
      </c>
      <c r="D37" s="17">
        <v>0</v>
      </c>
      <c r="E37" s="17">
        <v>0</v>
      </c>
      <c r="F37" s="17">
        <v>0</v>
      </c>
      <c r="G37" s="18">
        <f>IF(AND(F65&lt;&gt;0,0&lt;&gt;0),IF(100*0/(F65-0)&lt;0.005,"*",100*0/(F65-0)),0)</f>
        <v>0</v>
      </c>
    </row>
    <row r="38" spans="1:7" ht="12.75">
      <c r="A38" s="11" t="s">
        <v>120</v>
      </c>
      <c r="B38" s="17">
        <v>63826</v>
      </c>
      <c r="C38" s="17">
        <v>0</v>
      </c>
      <c r="D38" s="17">
        <v>0</v>
      </c>
      <c r="E38" s="17">
        <v>0</v>
      </c>
      <c r="F38" s="17">
        <v>0</v>
      </c>
      <c r="G38" s="18">
        <f>IF(AND(F65&lt;&gt;0,0&lt;&gt;0),IF(100*0/(F65-0)&lt;0.005,"*",100*0/(F65-0)),0)</f>
        <v>0</v>
      </c>
    </row>
    <row r="39" spans="1:7" ht="12.75">
      <c r="A39" s="11" t="s">
        <v>121</v>
      </c>
      <c r="B39" s="17">
        <v>0</v>
      </c>
      <c r="C39" s="17">
        <v>0</v>
      </c>
      <c r="D39" s="17">
        <v>0</v>
      </c>
      <c r="E39" s="17">
        <v>0</v>
      </c>
      <c r="F39" s="17">
        <v>0</v>
      </c>
      <c r="G39" s="18">
        <f>IF(AND(F65&lt;&gt;0,0&lt;&gt;0),IF(100*0/(F65-0)&lt;0.005,"*",100*0/(F65-0)),0)</f>
        <v>0</v>
      </c>
    </row>
    <row r="40" spans="1:7" ht="12.75">
      <c r="A40" s="11" t="s">
        <v>122</v>
      </c>
      <c r="B40" s="17">
        <v>0</v>
      </c>
      <c r="C40" s="17">
        <v>0</v>
      </c>
      <c r="D40" s="17">
        <v>0</v>
      </c>
      <c r="E40" s="17">
        <v>0</v>
      </c>
      <c r="F40" s="17">
        <v>0</v>
      </c>
      <c r="G40" s="18">
        <f>IF(AND(F65&lt;&gt;0,0&lt;&gt;0),IF(100*0/(F65-0)&lt;0.005,"*",100*0/(F65-0)),0)</f>
        <v>0</v>
      </c>
    </row>
    <row r="41" spans="1:7" ht="12.75">
      <c r="A41" s="11" t="s">
        <v>123</v>
      </c>
      <c r="B41" s="17">
        <v>0</v>
      </c>
      <c r="C41" s="17">
        <v>0</v>
      </c>
      <c r="D41" s="17">
        <v>0</v>
      </c>
      <c r="E41" s="17">
        <v>0</v>
      </c>
      <c r="F41" s="17">
        <v>0</v>
      </c>
      <c r="G41" s="18">
        <f>IF(AND(F65&lt;&gt;0,0&lt;&gt;0),IF(100*0/(F65-0)&lt;0.005,"*",100*0/(F65-0)),0)</f>
        <v>0</v>
      </c>
    </row>
    <row r="42" spans="1:7" ht="12.75">
      <c r="A42" s="11" t="s">
        <v>124</v>
      </c>
      <c r="B42" s="17">
        <v>0</v>
      </c>
      <c r="C42" s="17">
        <v>0</v>
      </c>
      <c r="D42" s="17">
        <v>0</v>
      </c>
      <c r="E42" s="17">
        <v>0</v>
      </c>
      <c r="F42" s="17">
        <v>0</v>
      </c>
      <c r="G42" s="18">
        <f>IF(AND(F65&lt;&gt;0,0&lt;&gt;0),IF(100*0/(F65-0)&lt;0.005,"*",100*0/(F65-0)),0)</f>
        <v>0</v>
      </c>
    </row>
    <row r="43" spans="1:7" ht="12.75">
      <c r="A43" s="11" t="s">
        <v>125</v>
      </c>
      <c r="B43" s="17">
        <v>0</v>
      </c>
      <c r="C43" s="17">
        <v>0</v>
      </c>
      <c r="D43" s="17">
        <v>0</v>
      </c>
      <c r="E43" s="17">
        <v>0</v>
      </c>
      <c r="F43" s="17">
        <v>0</v>
      </c>
      <c r="G43" s="18">
        <f>IF(AND(F65&lt;&gt;0,0&lt;&gt;0),IF(100*0/(F65-0)&lt;0.005,"*",100*0/(F65-0)),0)</f>
        <v>0</v>
      </c>
    </row>
    <row r="44" spans="1:7" ht="12.75">
      <c r="A44" s="11" t="s">
        <v>126</v>
      </c>
      <c r="B44" s="17">
        <v>0</v>
      </c>
      <c r="C44" s="17">
        <v>0</v>
      </c>
      <c r="D44" s="17">
        <v>0</v>
      </c>
      <c r="E44" s="17">
        <v>0</v>
      </c>
      <c r="F44" s="17">
        <v>0</v>
      </c>
      <c r="G44" s="18">
        <f>IF(AND(F65&lt;&gt;0,0&lt;&gt;0),IF(100*0/(F65-0)&lt;0.005,"*",100*0/(F65-0)),0)</f>
        <v>0</v>
      </c>
    </row>
    <row r="45" spans="1:7" ht="12.75">
      <c r="A45" s="11" t="s">
        <v>127</v>
      </c>
      <c r="B45" s="17">
        <v>11842</v>
      </c>
      <c r="C45" s="17">
        <v>0</v>
      </c>
      <c r="D45" s="17">
        <v>0</v>
      </c>
      <c r="E45" s="17">
        <v>0</v>
      </c>
      <c r="F45" s="17">
        <v>0</v>
      </c>
      <c r="G45" s="18">
        <f>IF(AND(F65&lt;&gt;0,0&lt;&gt;0),IF(100*0/(F65-0)&lt;0.005,"*",100*0/(F65-0)),0)</f>
        <v>0</v>
      </c>
    </row>
    <row r="46" spans="1:7" ht="12.75">
      <c r="A46" s="11" t="s">
        <v>128</v>
      </c>
      <c r="B46" s="17">
        <v>0</v>
      </c>
      <c r="C46" s="17">
        <v>0</v>
      </c>
      <c r="D46" s="17">
        <v>0</v>
      </c>
      <c r="E46" s="17">
        <v>0</v>
      </c>
      <c r="F46" s="17">
        <v>0</v>
      </c>
      <c r="G46" s="18">
        <f>IF(AND(F65&lt;&gt;0,0&lt;&gt;0),IF(100*0/(F65-0)&lt;0.005,"*",100*0/(F65-0)),0)</f>
        <v>0</v>
      </c>
    </row>
    <row r="47" spans="1:7" ht="12.75">
      <c r="A47" s="11" t="s">
        <v>129</v>
      </c>
      <c r="B47" s="17">
        <v>0</v>
      </c>
      <c r="C47" s="17">
        <v>0</v>
      </c>
      <c r="D47" s="17">
        <v>0</v>
      </c>
      <c r="E47" s="17">
        <v>0</v>
      </c>
      <c r="F47" s="17">
        <v>0</v>
      </c>
      <c r="G47" s="18">
        <f>IF(AND(F65&lt;&gt;0,0&lt;&gt;0),IF(100*0/(F65-0)&lt;0.005,"*",100*0/(F65-0)),0)</f>
        <v>0</v>
      </c>
    </row>
    <row r="48" spans="1:7" ht="12.75">
      <c r="A48" s="11" t="s">
        <v>130</v>
      </c>
      <c r="B48" s="17">
        <v>0</v>
      </c>
      <c r="C48" s="17">
        <v>0</v>
      </c>
      <c r="D48" s="17">
        <v>0</v>
      </c>
      <c r="E48" s="17">
        <v>0</v>
      </c>
      <c r="F48" s="17">
        <v>0</v>
      </c>
      <c r="G48" s="18">
        <f>IF(AND(F65&lt;&gt;0,0&lt;&gt;0),IF(100*0/(F65-0)&lt;0.005,"*",100*0/(F65-0)),0)</f>
        <v>0</v>
      </c>
    </row>
    <row r="49" spans="1:7" ht="12.75">
      <c r="A49" s="11" t="s">
        <v>131</v>
      </c>
      <c r="B49" s="17">
        <v>0</v>
      </c>
      <c r="C49" s="17">
        <v>0</v>
      </c>
      <c r="D49" s="17">
        <v>0</v>
      </c>
      <c r="E49" s="17">
        <v>0</v>
      </c>
      <c r="F49" s="17">
        <v>0</v>
      </c>
      <c r="G49" s="18">
        <f>IF(AND(F65&lt;&gt;0,0&lt;&gt;0),IF(100*0/(F65-0)&lt;0.005,"*",100*0/(F65-0)),0)</f>
        <v>0</v>
      </c>
    </row>
    <row r="50" spans="1:7" ht="12.75">
      <c r="A50" s="11" t="s">
        <v>132</v>
      </c>
      <c r="B50" s="17">
        <v>0</v>
      </c>
      <c r="C50" s="17">
        <v>0</v>
      </c>
      <c r="D50" s="17">
        <v>0</v>
      </c>
      <c r="E50" s="17">
        <v>0</v>
      </c>
      <c r="F50" s="17">
        <v>0</v>
      </c>
      <c r="G50" s="18">
        <f>IF(AND(F65&lt;&gt;0,0&lt;&gt;0),IF(100*0/(F65-0)&lt;0.005,"*",100*0/(F65-0)),0)</f>
        <v>0</v>
      </c>
    </row>
    <row r="51" spans="1:7" ht="12.75">
      <c r="A51" s="11" t="s">
        <v>133</v>
      </c>
      <c r="B51" s="17">
        <v>27077</v>
      </c>
      <c r="C51" s="17">
        <v>0</v>
      </c>
      <c r="D51" s="17">
        <v>0</v>
      </c>
      <c r="E51" s="17">
        <v>0</v>
      </c>
      <c r="F51" s="17">
        <v>0</v>
      </c>
      <c r="G51" s="18">
        <f>IF(AND(F65&lt;&gt;0,0&lt;&gt;0),IF(100*0/(F65-0)&lt;0.005,"*",100*0/(F65-0)),0)</f>
        <v>0</v>
      </c>
    </row>
    <row r="52" spans="1:7" ht="12.75">
      <c r="A52" s="11" t="s">
        <v>134</v>
      </c>
      <c r="B52" s="17">
        <v>9295</v>
      </c>
      <c r="C52" s="17">
        <v>0</v>
      </c>
      <c r="D52" s="17">
        <v>0</v>
      </c>
      <c r="E52" s="17">
        <v>0</v>
      </c>
      <c r="F52" s="17">
        <v>0</v>
      </c>
      <c r="G52" s="18">
        <f>IF(AND(F65&lt;&gt;0,0&lt;&gt;0),IF(100*0/(F65-0)&lt;0.005,"*",100*0/(F65-0)),0)</f>
        <v>0</v>
      </c>
    </row>
    <row r="53" spans="1:7" ht="12.75">
      <c r="A53" s="11" t="s">
        <v>135</v>
      </c>
      <c r="B53" s="17">
        <v>36307</v>
      </c>
      <c r="C53" s="17">
        <v>0</v>
      </c>
      <c r="D53" s="17">
        <v>0</v>
      </c>
      <c r="E53" s="17">
        <v>0</v>
      </c>
      <c r="F53" s="17">
        <v>0</v>
      </c>
      <c r="G53" s="18">
        <f>IF(AND(F65&lt;&gt;0,0&lt;&gt;0),IF(100*0/(F65-0)&lt;0.005,"*",100*0/(F65-0)),0)</f>
        <v>0</v>
      </c>
    </row>
    <row r="54" spans="1:7" ht="12.75">
      <c r="A54" s="11" t="s">
        <v>136</v>
      </c>
      <c r="B54" s="17">
        <v>0</v>
      </c>
      <c r="C54" s="17">
        <v>0</v>
      </c>
      <c r="D54" s="17">
        <v>0</v>
      </c>
      <c r="E54" s="17">
        <v>0</v>
      </c>
      <c r="F54" s="17">
        <v>0</v>
      </c>
      <c r="G54" s="18">
        <f>IF(AND(F65&lt;&gt;0,0&lt;&gt;0),IF(100*0/(F65-0)&lt;0.005,"*",100*0/(F65-0)),0)</f>
        <v>0</v>
      </c>
    </row>
    <row r="55" spans="1:7" ht="12.75">
      <c r="A55" s="11" t="s">
        <v>137</v>
      </c>
      <c r="B55" s="17">
        <v>0</v>
      </c>
      <c r="C55" s="17">
        <v>0</v>
      </c>
      <c r="D55" s="17">
        <v>0</v>
      </c>
      <c r="E55" s="17">
        <v>0</v>
      </c>
      <c r="F55" s="17">
        <v>0</v>
      </c>
      <c r="G55" s="18">
        <f>IF(AND(F65&lt;&gt;0,0&lt;&gt;0),IF(100*0/(F65-0)&lt;0.005,"*",100*0/(F65-0)),0)</f>
        <v>0</v>
      </c>
    </row>
    <row r="56" spans="1:7" ht="12.75">
      <c r="A56" s="11" t="s">
        <v>138</v>
      </c>
      <c r="B56" s="17">
        <v>0</v>
      </c>
      <c r="C56" s="17">
        <v>0</v>
      </c>
      <c r="D56" s="17">
        <v>0</v>
      </c>
      <c r="E56" s="17">
        <v>0</v>
      </c>
      <c r="F56" s="17">
        <v>0</v>
      </c>
      <c r="G56" s="18">
        <f>IF(AND(F65&lt;&gt;0,0&lt;&gt;0),IF(100*0/(F65-0)&lt;0.005,"*",100*0/(F65-0)),0)</f>
        <v>0</v>
      </c>
    </row>
    <row r="57" spans="1:7" ht="12.75">
      <c r="A57" s="11" t="s">
        <v>139</v>
      </c>
      <c r="B57" s="17">
        <v>0</v>
      </c>
      <c r="C57" s="17">
        <v>0</v>
      </c>
      <c r="D57" s="17">
        <v>0</v>
      </c>
      <c r="E57" s="17">
        <v>0</v>
      </c>
      <c r="F57" s="17">
        <v>0</v>
      </c>
      <c r="G57" s="18">
        <f>IF(AND(F65&lt;&gt;0,0&lt;&gt;0),IF(100*0/(F65-0)&lt;0.005,"*",100*0/(F65-0)),0)</f>
        <v>0</v>
      </c>
    </row>
    <row r="58" spans="1:7" ht="12.75">
      <c r="A58" s="11" t="s">
        <v>140</v>
      </c>
      <c r="B58" s="17">
        <v>0</v>
      </c>
      <c r="C58" s="17">
        <v>0</v>
      </c>
      <c r="D58" s="17">
        <v>0</v>
      </c>
      <c r="E58" s="17">
        <v>0</v>
      </c>
      <c r="F58" s="17">
        <v>0</v>
      </c>
      <c r="G58" s="18">
        <f>IF(AND(F65&lt;&gt;0,0&lt;&gt;0),IF(100*0/(F65-0)&lt;0.005,"*",100*0/(F65-0)),0)</f>
        <v>0</v>
      </c>
    </row>
    <row r="59" spans="1:7" ht="12.75">
      <c r="A59" s="11" t="s">
        <v>141</v>
      </c>
      <c r="B59" s="17">
        <v>0</v>
      </c>
      <c r="C59" s="17">
        <v>0</v>
      </c>
      <c r="D59" s="17">
        <v>0</v>
      </c>
      <c r="E59" s="17">
        <v>0</v>
      </c>
      <c r="F59" s="17">
        <v>0</v>
      </c>
      <c r="G59" s="18">
        <f>IF(AND(F65&lt;&gt;0,0&lt;&gt;0),IF(100*0/(F65-0)&lt;0.005,"*",100*0/(F65-0)),0)</f>
        <v>0</v>
      </c>
    </row>
    <row r="60" spans="1:7" ht="12.75">
      <c r="A60" s="11" t="s">
        <v>142</v>
      </c>
      <c r="B60" s="17">
        <v>0</v>
      </c>
      <c r="C60" s="17">
        <v>0</v>
      </c>
      <c r="D60" s="17">
        <v>0</v>
      </c>
      <c r="E60" s="17">
        <v>0</v>
      </c>
      <c r="F60" s="17">
        <v>0</v>
      </c>
      <c r="G60" s="18">
        <f>IF(AND(F65&lt;&gt;0,0&lt;&gt;0),IF(100*0/(F65-0)&lt;0.005,"*",100*0/(F65-0)),0)</f>
        <v>0</v>
      </c>
    </row>
    <row r="61" spans="1:7" ht="12.75">
      <c r="A61" s="11" t="s">
        <v>143</v>
      </c>
      <c r="B61" s="17">
        <v>0</v>
      </c>
      <c r="C61" s="17">
        <v>0</v>
      </c>
      <c r="D61" s="17">
        <v>0</v>
      </c>
      <c r="E61" s="17">
        <v>0</v>
      </c>
      <c r="F61" s="17">
        <v>0</v>
      </c>
      <c r="G61" s="18">
        <f>IF(AND(F65&lt;&gt;0,0&lt;&gt;0),IF(100*0/(F65-0)&lt;0.005,"*",100*0/(F65-0)),0)</f>
        <v>0</v>
      </c>
    </row>
    <row r="62" spans="1:7" ht="12.75">
      <c r="A62" s="11" t="s">
        <v>144</v>
      </c>
      <c r="B62" s="17">
        <v>0</v>
      </c>
      <c r="C62" s="17">
        <v>0</v>
      </c>
      <c r="D62" s="17">
        <v>0</v>
      </c>
      <c r="E62" s="17">
        <v>0</v>
      </c>
      <c r="F62" s="17">
        <v>0</v>
      </c>
      <c r="G62" s="18">
        <f>IF(AND(F65&lt;&gt;0,0&lt;&gt;0),IF(100*0/(F65-0)&lt;0.005,"*",100*0/(F65-0)),0)</f>
        <v>0</v>
      </c>
    </row>
    <row r="63" spans="1:7" ht="12.75">
      <c r="A63" s="11" t="s">
        <v>145</v>
      </c>
      <c r="B63" s="17">
        <v>0</v>
      </c>
      <c r="C63" s="17">
        <v>0</v>
      </c>
      <c r="D63" s="17">
        <v>0</v>
      </c>
      <c r="E63" s="17">
        <v>0</v>
      </c>
      <c r="F63" s="17">
        <v>0</v>
      </c>
      <c r="G63" s="18">
        <f>IF(AND(F65&lt;&gt;0,0&lt;&gt;0),IF(100*0/(F65-0)&lt;0.005,"*",100*0/(F65-0)),0)</f>
        <v>0</v>
      </c>
    </row>
    <row r="64" spans="1:7" ht="12.75">
      <c r="A64" s="11" t="s">
        <v>146</v>
      </c>
      <c r="B64" s="17">
        <v>0</v>
      </c>
      <c r="C64" s="17">
        <v>0</v>
      </c>
      <c r="D64" s="17">
        <v>0</v>
      </c>
      <c r="E64" s="17">
        <v>0</v>
      </c>
      <c r="F64" s="17">
        <v>0</v>
      </c>
      <c r="G64" s="18">
        <v>0</v>
      </c>
    </row>
    <row r="65" spans="1:7" ht="15" customHeight="1">
      <c r="A65" s="19" t="s">
        <v>87</v>
      </c>
      <c r="B65" s="20">
        <f>0+0+0+99889+0+6056+11404+978+27750+0+0+0+35897+10089+0+0+0+35605+0+0+7948+26926+0+34343+0+0+0+0+0+3386+0+0+63826+0+0+0+0+0+0+11842+0+0+0+0+0+27077+9295+36307+0+0+0+0+0+0+0+0+0+0+0+0</f>
        <v>448618</v>
      </c>
      <c r="C65" s="20">
        <f>0+0+0+0+0+0+0+0+0+0+0+0+0+0+0+0+0+0+0+0+0+0+0+0+0+0+0+0+0+0+0+0+0+0+0+0+0+0+0+0+0+0+0+0+0+0+0+0+0+0+0+0+0+0+0+0+0+0+0+0</f>
        <v>0</v>
      </c>
      <c r="D65" s="20">
        <f>0+0+0+0+0+0+0+0+0+0+0+0+0+0+0+0+0+0+0+0+0+0+0+0+0+0+0+0+0+0+0+0+0+0+0+0+0+0+0+0+0+0+0+0+0+0+0+0+0+0+0+0+0+0+0+0+0+0+0+0</f>
        <v>0</v>
      </c>
      <c r="E65" s="20">
        <f>SUM(C65:D65)</f>
        <v>0</v>
      </c>
      <c r="F65" s="20">
        <f>0+0+0+0+0+0+0+0+0+0+0+0+0+0+0+0+0+0+0+0+0+0+0+0+0+0+0+0+0+0+0+0+0+0+0+0+0+0+0+0+0+0+0+0+0+0+0+0+0+0+0+0+0+0+0+0+0+0+0+0</f>
        <v>0</v>
      </c>
      <c r="G65" s="22" t="s">
        <v>170</v>
      </c>
    </row>
    <row r="66" spans="1:7" ht="15" customHeight="1">
      <c r="A66" s="33" t="s">
        <v>148</v>
      </c>
      <c r="B66" s="33"/>
      <c r="C66" s="33"/>
      <c r="D66" s="33"/>
      <c r="E66" s="33"/>
      <c r="F66" s="33"/>
      <c r="G66" s="33"/>
    </row>
  </sheetData>
  <sheetProtection/>
  <mergeCells count="5">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167</v>
      </c>
      <c r="B1" s="10"/>
      <c r="C1" s="10"/>
      <c r="D1" s="10"/>
      <c r="E1" s="10"/>
      <c r="F1" s="10"/>
      <c r="G1" s="12" t="s">
        <v>171</v>
      </c>
    </row>
    <row r="2" spans="1:7" ht="12.75">
      <c r="A2" s="13" t="s">
        <v>172</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172891</v>
      </c>
      <c r="C6" s="17">
        <v>0</v>
      </c>
      <c r="D6" s="17">
        <v>267592</v>
      </c>
      <c r="E6" s="17">
        <v>267592</v>
      </c>
      <c r="F6" s="17">
        <v>316355</v>
      </c>
      <c r="G6" s="18">
        <f>IF(AND(F65&lt;&gt;0,316355&lt;&gt;0),IF(100*316355/(F65-0)&lt;0.005,"*",100*316355/(F65-0)),0)</f>
        <v>1.9895678734424653</v>
      </c>
    </row>
    <row r="7" spans="1:7" ht="12.75">
      <c r="A7" s="11" t="s">
        <v>89</v>
      </c>
      <c r="B7" s="17">
        <v>23911</v>
      </c>
      <c r="C7" s="17">
        <v>0</v>
      </c>
      <c r="D7" s="17">
        <v>20378</v>
      </c>
      <c r="E7" s="17">
        <v>20378</v>
      </c>
      <c r="F7" s="17">
        <v>28767</v>
      </c>
      <c r="G7" s="18">
        <f>IF(AND(F65&lt;&gt;0,28767&lt;&gt;0),IF(100*28767/(F65-0)&lt;0.005,"*",100*28767/(F65-0)),0)</f>
        <v>0.18091668857871504</v>
      </c>
    </row>
    <row r="8" spans="1:7" ht="12.75">
      <c r="A8" s="11" t="s">
        <v>90</v>
      </c>
      <c r="B8" s="17">
        <v>80667</v>
      </c>
      <c r="C8" s="17">
        <v>0</v>
      </c>
      <c r="D8" s="17">
        <v>123658</v>
      </c>
      <c r="E8" s="17">
        <v>123658</v>
      </c>
      <c r="F8" s="17">
        <v>200909</v>
      </c>
      <c r="G8" s="18">
        <f>IF(AND(F65&lt;&gt;0,200909&lt;&gt;0),IF(100*200909/(F65-0)&lt;0.005,"*",100*200909/(F65-0)),0)</f>
        <v>1.263523863651443</v>
      </c>
    </row>
    <row r="9" spans="1:7" ht="12.75">
      <c r="A9" s="11" t="s">
        <v>91</v>
      </c>
      <c r="B9" s="17">
        <v>93980</v>
      </c>
      <c r="C9" s="17">
        <v>0</v>
      </c>
      <c r="D9" s="17">
        <v>174524</v>
      </c>
      <c r="E9" s="17">
        <v>174524</v>
      </c>
      <c r="F9" s="17">
        <v>45805</v>
      </c>
      <c r="G9" s="18">
        <f>IF(AND(F65&lt;&gt;0,45805&lt;&gt;0),IF(100*45805/(F65-0)&lt;0.005,"*",100*45805/(F65-0)),0)</f>
        <v>0.2880692780042425</v>
      </c>
    </row>
    <row r="10" spans="1:7" ht="12.75">
      <c r="A10" s="11" t="s">
        <v>92</v>
      </c>
      <c r="B10" s="17">
        <v>1744125</v>
      </c>
      <c r="C10" s="17">
        <v>0</v>
      </c>
      <c r="D10" s="17">
        <v>1995222</v>
      </c>
      <c r="E10" s="17">
        <v>1995222</v>
      </c>
      <c r="F10" s="17">
        <v>2898031</v>
      </c>
      <c r="G10" s="18">
        <f>IF(AND(F65&lt;&gt;0,2898031&lt;&gt;0),IF(100*2898031/(F65-0)&lt;0.005,"*",100*2898031/(F65-0)),0)</f>
        <v>18.22582027734773</v>
      </c>
    </row>
    <row r="11" spans="1:7" ht="12.75">
      <c r="A11" s="11" t="s">
        <v>93</v>
      </c>
      <c r="B11" s="17">
        <v>157512</v>
      </c>
      <c r="C11" s="17">
        <v>0</v>
      </c>
      <c r="D11" s="17">
        <v>228329</v>
      </c>
      <c r="E11" s="17">
        <v>228329</v>
      </c>
      <c r="F11" s="17">
        <v>234515</v>
      </c>
      <c r="G11" s="18">
        <f>IF(AND(F65&lt;&gt;0,234515&lt;&gt;0),IF(100*234515/(F65-0)&lt;0.005,"*",100*234515/(F65-0)),0)</f>
        <v>1.4748731957464234</v>
      </c>
    </row>
    <row r="12" spans="1:7" ht="12.75">
      <c r="A12" s="11" t="s">
        <v>94</v>
      </c>
      <c r="B12" s="17">
        <v>48065</v>
      </c>
      <c r="C12" s="17">
        <v>0</v>
      </c>
      <c r="D12" s="17">
        <v>61880</v>
      </c>
      <c r="E12" s="17">
        <v>61880</v>
      </c>
      <c r="F12" s="17">
        <v>95122</v>
      </c>
      <c r="G12" s="18">
        <f>IF(AND(F65&lt;&gt;0,95122&lt;&gt;0),IF(100*95122/(F65-0)&lt;0.005,"*",100*95122/(F65-0)),0)</f>
        <v>0.598225649215578</v>
      </c>
    </row>
    <row r="13" spans="1:7" ht="12.75">
      <c r="A13" s="11" t="s">
        <v>95</v>
      </c>
      <c r="B13" s="17">
        <v>20261</v>
      </c>
      <c r="C13" s="17">
        <v>0</v>
      </c>
      <c r="D13" s="17">
        <v>38531</v>
      </c>
      <c r="E13" s="17">
        <v>38531</v>
      </c>
      <c r="F13" s="17">
        <v>32078</v>
      </c>
      <c r="G13" s="18">
        <f>IF(AND(F65&lt;&gt;0,32078&lt;&gt;0),IF(100*32078/(F65-0)&lt;0.005,"*",100*32078/(F65-0)),0)</f>
        <v>0.20173968561991246</v>
      </c>
    </row>
    <row r="14" spans="1:7" ht="12.75">
      <c r="A14" s="11" t="s">
        <v>96</v>
      </c>
      <c r="B14" s="17">
        <v>20711</v>
      </c>
      <c r="C14" s="17">
        <v>0</v>
      </c>
      <c r="D14" s="17">
        <v>25629</v>
      </c>
      <c r="E14" s="17">
        <v>25629</v>
      </c>
      <c r="F14" s="17">
        <v>26074</v>
      </c>
      <c r="G14" s="18">
        <f>IF(AND(F65&lt;&gt;0,26074&lt;&gt;0),IF(100*26074/(F65-0)&lt;0.005,"*",100*26074/(F65-0)),0)</f>
        <v>0.1639803155699731</v>
      </c>
    </row>
    <row r="15" spans="1:7" ht="12.75">
      <c r="A15" s="11" t="s">
        <v>97</v>
      </c>
      <c r="B15" s="17">
        <v>566046</v>
      </c>
      <c r="C15" s="17">
        <v>0</v>
      </c>
      <c r="D15" s="17">
        <v>594955</v>
      </c>
      <c r="E15" s="17">
        <v>594955</v>
      </c>
      <c r="F15" s="17">
        <v>767032</v>
      </c>
      <c r="G15" s="18">
        <f>IF(AND(F65&lt;&gt;0,767032&lt;&gt;0),IF(100*767032/(F65-0)&lt;0.005,"*",100*767032/(F65-0)),0)</f>
        <v>4.823891593628427</v>
      </c>
    </row>
    <row r="16" spans="1:7" ht="12.75">
      <c r="A16" s="11" t="s">
        <v>98</v>
      </c>
      <c r="B16" s="17">
        <v>410564</v>
      </c>
      <c r="C16" s="17">
        <v>0</v>
      </c>
      <c r="D16" s="17">
        <v>418168</v>
      </c>
      <c r="E16" s="17">
        <v>418168</v>
      </c>
      <c r="F16" s="17">
        <v>502471</v>
      </c>
      <c r="G16" s="18">
        <f>IF(AND(F65&lt;&gt;0,502471&lt;&gt;0),IF(100*502471/(F65-0)&lt;0.005,"*",100*502471/(F65-0)),0)</f>
        <v>3.160058032705375</v>
      </c>
    </row>
    <row r="17" spans="1:7" ht="12.75">
      <c r="A17" s="11" t="s">
        <v>99</v>
      </c>
      <c r="B17" s="17">
        <v>46316</v>
      </c>
      <c r="C17" s="17">
        <v>0</v>
      </c>
      <c r="D17" s="17">
        <v>46343</v>
      </c>
      <c r="E17" s="17">
        <v>46343</v>
      </c>
      <c r="F17" s="17">
        <v>49862</v>
      </c>
      <c r="G17" s="18">
        <f>IF(AND(F65&lt;&gt;0,49862&lt;&gt;0),IF(100*49862/(F65-0)&lt;0.005,"*",100*49862/(F65-0)),0)</f>
        <v>0.3135838956412518</v>
      </c>
    </row>
    <row r="18" spans="1:7" ht="12.75">
      <c r="A18" s="11" t="s">
        <v>100</v>
      </c>
      <c r="B18" s="17">
        <v>66216</v>
      </c>
      <c r="C18" s="17">
        <v>0</v>
      </c>
      <c r="D18" s="17">
        <v>66420</v>
      </c>
      <c r="E18" s="17">
        <v>66420</v>
      </c>
      <c r="F18" s="17">
        <v>75489</v>
      </c>
      <c r="G18" s="18">
        <f>IF(AND(F65&lt;&gt;0,75489&lt;&gt;0),IF(100*75489/(F65-0)&lt;0.005,"*",100*75489/(F65-0)),0)</f>
        <v>0.47475301227512845</v>
      </c>
    </row>
    <row r="19" spans="1:7" ht="12.75">
      <c r="A19" s="11" t="s">
        <v>101</v>
      </c>
      <c r="B19" s="17">
        <v>361410</v>
      </c>
      <c r="C19" s="17">
        <v>0</v>
      </c>
      <c r="D19" s="17">
        <v>406234</v>
      </c>
      <c r="E19" s="17">
        <v>406234</v>
      </c>
      <c r="F19" s="17">
        <v>386031</v>
      </c>
      <c r="G19" s="18">
        <f>IF(AND(F65&lt;&gt;0,386031&lt;&gt;0),IF(100*386031/(F65-0)&lt;0.005,"*",100*386031/(F65-0)),0)</f>
        <v>2.427762721477038</v>
      </c>
    </row>
    <row r="20" spans="1:7" ht="12.75">
      <c r="A20" s="11" t="s">
        <v>102</v>
      </c>
      <c r="B20" s="17">
        <v>162871</v>
      </c>
      <c r="C20" s="17">
        <v>0</v>
      </c>
      <c r="D20" s="17">
        <v>165657</v>
      </c>
      <c r="E20" s="17">
        <v>165657</v>
      </c>
      <c r="F20" s="17">
        <v>191666</v>
      </c>
      <c r="G20" s="18">
        <f>IF(AND(F65&lt;&gt;0,191666&lt;&gt;0),IF(100*191666/(F65-0)&lt;0.005,"*",100*191666/(F65-0)),0)</f>
        <v>1.2053943071271942</v>
      </c>
    </row>
    <row r="21" spans="1:7" ht="12.75">
      <c r="A21" s="11" t="s">
        <v>103</v>
      </c>
      <c r="B21" s="17">
        <v>126012</v>
      </c>
      <c r="C21" s="17">
        <v>0</v>
      </c>
      <c r="D21" s="17">
        <v>147611</v>
      </c>
      <c r="E21" s="17">
        <v>147611</v>
      </c>
      <c r="F21" s="17">
        <v>155689</v>
      </c>
      <c r="G21" s="18">
        <f>IF(AND(F65&lt;&gt;0,155689&lt;&gt;0),IF(100*155689/(F65-0)&lt;0.005,"*",100*155689/(F65-0)),0)</f>
        <v>0.9791336715031657</v>
      </c>
    </row>
    <row r="22" spans="1:7" ht="12.75">
      <c r="A22" s="11" t="s">
        <v>104</v>
      </c>
      <c r="B22" s="17">
        <v>85146</v>
      </c>
      <c r="C22" s="17">
        <v>0</v>
      </c>
      <c r="D22" s="17">
        <v>112201</v>
      </c>
      <c r="E22" s="17">
        <v>112201</v>
      </c>
      <c r="F22" s="17">
        <v>122949</v>
      </c>
      <c r="G22" s="18">
        <f>IF(AND(F65&lt;&gt;0,122949&lt;&gt;0),IF(100*122949/(F65-0)&lt;0.005,"*",100*122949/(F65-0)),0)</f>
        <v>0.773230644282144</v>
      </c>
    </row>
    <row r="23" spans="1:7" ht="12.75">
      <c r="A23" s="11" t="s">
        <v>105</v>
      </c>
      <c r="B23" s="17">
        <v>171914</v>
      </c>
      <c r="C23" s="17">
        <v>0</v>
      </c>
      <c r="D23" s="17">
        <v>232038</v>
      </c>
      <c r="E23" s="17">
        <v>232038</v>
      </c>
      <c r="F23" s="17">
        <v>284635</v>
      </c>
      <c r="G23" s="18">
        <f>IF(AND(F65&lt;&gt;0,284635&lt;&gt;0),IF(100*284635/(F65-0)&lt;0.005,"*",100*284635/(F65-0)),0)</f>
        <v>1.7900796625856905</v>
      </c>
    </row>
    <row r="24" spans="1:7" ht="12.75">
      <c r="A24" s="11" t="s">
        <v>106</v>
      </c>
      <c r="B24" s="17">
        <v>180137</v>
      </c>
      <c r="C24" s="17">
        <v>0</v>
      </c>
      <c r="D24" s="17">
        <v>238943</v>
      </c>
      <c r="E24" s="17">
        <v>238943</v>
      </c>
      <c r="F24" s="17">
        <v>291872</v>
      </c>
      <c r="G24" s="18">
        <f>IF(AND(F65&lt;&gt;0,291872&lt;&gt;0),IF(100*291872/(F65-0)&lt;0.005,"*",100*291872/(F65-0)),0)</f>
        <v>1.835593413593587</v>
      </c>
    </row>
    <row r="25" spans="1:7" ht="12.75">
      <c r="A25" s="11" t="s">
        <v>107</v>
      </c>
      <c r="B25" s="17">
        <v>27361</v>
      </c>
      <c r="C25" s="17">
        <v>0</v>
      </c>
      <c r="D25" s="17">
        <v>32289</v>
      </c>
      <c r="E25" s="17">
        <v>32289</v>
      </c>
      <c r="F25" s="17">
        <v>35594</v>
      </c>
      <c r="G25" s="18">
        <f>IF(AND(F65&lt;&gt;0,35594&lt;&gt;0),IF(100*35594/(F65-0)&lt;0.005,"*",100*35594/(F65-0)),0)</f>
        <v>0.22385193496961045</v>
      </c>
    </row>
    <row r="26" spans="1:7" ht="12.75">
      <c r="A26" s="11" t="s">
        <v>108</v>
      </c>
      <c r="B26" s="17">
        <v>234274</v>
      </c>
      <c r="C26" s="17">
        <v>0</v>
      </c>
      <c r="D26" s="17">
        <v>290765</v>
      </c>
      <c r="E26" s="17">
        <v>290765</v>
      </c>
      <c r="F26" s="17">
        <v>343156</v>
      </c>
      <c r="G26" s="18">
        <f>IF(AND(F65&lt;&gt;0,343156&lt;&gt;0),IF(100*343156/(F65-0)&lt;0.005,"*",100*343156/(F65-0)),0)</f>
        <v>2.158120317930877</v>
      </c>
    </row>
    <row r="27" spans="1:7" ht="12.75">
      <c r="A27" s="11" t="s">
        <v>109</v>
      </c>
      <c r="B27" s="17">
        <v>413777</v>
      </c>
      <c r="C27" s="17">
        <v>0</v>
      </c>
      <c r="D27" s="17">
        <v>535767</v>
      </c>
      <c r="E27" s="17">
        <v>535767</v>
      </c>
      <c r="F27" s="17">
        <v>604250</v>
      </c>
      <c r="G27" s="18">
        <f>IF(AND(F65&lt;&gt;0,604250&lt;&gt;0),IF(100*604250/(F65-0)&lt;0.005,"*",100*604250/(F65-0)),0)</f>
        <v>3.800149792251141</v>
      </c>
    </row>
    <row r="28" spans="1:7" ht="12.75">
      <c r="A28" s="11" t="s">
        <v>110</v>
      </c>
      <c r="B28" s="17">
        <v>118575</v>
      </c>
      <c r="C28" s="17">
        <v>0</v>
      </c>
      <c r="D28" s="17">
        <v>323907</v>
      </c>
      <c r="E28" s="17">
        <v>323907</v>
      </c>
      <c r="F28" s="17">
        <v>286969</v>
      </c>
      <c r="G28" s="18">
        <f>IF(AND(F65&lt;&gt;0,286969&lt;&gt;0),IF(100*286969/(F65-0)&lt;0.005,"*",100*286969/(F65-0)),0)</f>
        <v>1.8047582717956436</v>
      </c>
    </row>
    <row r="29" spans="1:7" ht="12.75">
      <c r="A29" s="11" t="s">
        <v>111</v>
      </c>
      <c r="B29" s="17">
        <v>41135</v>
      </c>
      <c r="C29" s="17">
        <v>0</v>
      </c>
      <c r="D29" s="17">
        <v>98575</v>
      </c>
      <c r="E29" s="17">
        <v>98575</v>
      </c>
      <c r="F29" s="17">
        <v>92708</v>
      </c>
      <c r="G29" s="18">
        <f>IF(AND(F65&lt;&gt;0,92708&lt;&gt;0),IF(100*92708/(F65-0)&lt;0.005,"*",100*92708/(F65-0)),0)</f>
        <v>0.5830439171535271</v>
      </c>
    </row>
    <row r="30" spans="1:7" ht="12.75">
      <c r="A30" s="11" t="s">
        <v>112</v>
      </c>
      <c r="B30" s="17">
        <v>226177</v>
      </c>
      <c r="C30" s="17">
        <v>0</v>
      </c>
      <c r="D30" s="17">
        <v>246726</v>
      </c>
      <c r="E30" s="17">
        <v>246726</v>
      </c>
      <c r="F30" s="17">
        <v>299251</v>
      </c>
      <c r="G30" s="18">
        <f>IF(AND(F65&lt;&gt;0,299251&lt;&gt;0),IF(100*299251/(F65-0)&lt;0.005,"*",100*299251/(F65-0)),0)</f>
        <v>1.8820002076639573</v>
      </c>
    </row>
    <row r="31" spans="1:7" ht="12.75">
      <c r="A31" s="11" t="s">
        <v>113</v>
      </c>
      <c r="B31" s="17">
        <v>163187</v>
      </c>
      <c r="C31" s="17">
        <v>0</v>
      </c>
      <c r="D31" s="17">
        <v>172903</v>
      </c>
      <c r="E31" s="17">
        <v>172903</v>
      </c>
      <c r="F31" s="17">
        <v>193052</v>
      </c>
      <c r="G31" s="18">
        <f>IF(AND(F65&lt;&gt;0,193052&lt;&gt;0),IF(100*193052/(F65-0)&lt;0.005,"*",100*193052/(F65-0)),0)</f>
        <v>1.2141109105397885</v>
      </c>
    </row>
    <row r="32" spans="1:7" ht="12.75">
      <c r="A32" s="11" t="s">
        <v>114</v>
      </c>
      <c r="B32" s="17">
        <v>91735</v>
      </c>
      <c r="C32" s="17">
        <v>0</v>
      </c>
      <c r="D32" s="17">
        <v>95823</v>
      </c>
      <c r="E32" s="17">
        <v>95823</v>
      </c>
      <c r="F32" s="17">
        <v>103643</v>
      </c>
      <c r="G32" s="18">
        <f>IF(AND(F65&lt;&gt;0,103643&lt;&gt;0),IF(100*103643/(F65-0)&lt;0.005,"*",100*103643/(F65-0)),0)</f>
        <v>0.6518145219996442</v>
      </c>
    </row>
    <row r="33" spans="1:7" ht="12.75">
      <c r="A33" s="11" t="s">
        <v>115</v>
      </c>
      <c r="B33" s="17">
        <v>69689</v>
      </c>
      <c r="C33" s="17">
        <v>0</v>
      </c>
      <c r="D33" s="17">
        <v>78189</v>
      </c>
      <c r="E33" s="17">
        <v>78189</v>
      </c>
      <c r="F33" s="17">
        <v>79912</v>
      </c>
      <c r="G33" s="18">
        <f>IF(AND(F65&lt;&gt;0,79912&lt;&gt;0),IF(100*79912/(F65-0)&lt;0.005,"*",100*79912/(F65-0)),0)</f>
        <v>0.5025694169604852</v>
      </c>
    </row>
    <row r="34" spans="1:7" ht="12.75">
      <c r="A34" s="11" t="s">
        <v>116</v>
      </c>
      <c r="B34" s="17">
        <v>43105</v>
      </c>
      <c r="C34" s="17">
        <v>0</v>
      </c>
      <c r="D34" s="17">
        <v>63304</v>
      </c>
      <c r="E34" s="17">
        <v>63304</v>
      </c>
      <c r="F34" s="17">
        <v>76312</v>
      </c>
      <c r="G34" s="18">
        <f>IF(AND(F65&lt;&gt;0,76312&lt;&gt;0),IF(100*76312/(F65-0)&lt;0.005,"*",100*76312/(F65-0)),0)</f>
        <v>0.4799288886160845</v>
      </c>
    </row>
    <row r="35" spans="1:7" ht="12.75">
      <c r="A35" s="11" t="s">
        <v>117</v>
      </c>
      <c r="B35" s="17">
        <v>20002</v>
      </c>
      <c r="C35" s="17">
        <v>0</v>
      </c>
      <c r="D35" s="17">
        <v>39174</v>
      </c>
      <c r="E35" s="17">
        <v>39174</v>
      </c>
      <c r="F35" s="17">
        <v>32049</v>
      </c>
      <c r="G35" s="18">
        <f>IF(AND(F65&lt;&gt;0,32049&lt;&gt;0),IF(100*32049/(F65-0)&lt;0.005,"*",100*32049/(F65-0)),0)</f>
        <v>0.201557303586027</v>
      </c>
    </row>
    <row r="36" spans="1:7" ht="12.75">
      <c r="A36" s="11" t="s">
        <v>118</v>
      </c>
      <c r="B36" s="17">
        <v>344793</v>
      </c>
      <c r="C36" s="17">
        <v>0</v>
      </c>
      <c r="D36" s="17">
        <v>406770</v>
      </c>
      <c r="E36" s="17">
        <v>406770</v>
      </c>
      <c r="F36" s="17">
        <v>484991</v>
      </c>
      <c r="G36" s="18">
        <f>IF(AND(F65&lt;&gt;0,484991&lt;&gt;0),IF(100*484991/(F65-0)&lt;0.005,"*",100*484991/(F65-0)),0)</f>
        <v>3.0501256895220075</v>
      </c>
    </row>
    <row r="37" spans="1:7" ht="12.75">
      <c r="A37" s="11" t="s">
        <v>119</v>
      </c>
      <c r="B37" s="17">
        <v>73635</v>
      </c>
      <c r="C37" s="17">
        <v>0</v>
      </c>
      <c r="D37" s="17">
        <v>122483</v>
      </c>
      <c r="E37" s="17">
        <v>122483</v>
      </c>
      <c r="F37" s="17">
        <v>149110</v>
      </c>
      <c r="G37" s="18">
        <f>IF(AND(F65&lt;&gt;0,149110&lt;&gt;0),IF(100*149110/(F65-0)&lt;0.005,"*",100*149110/(F65-0)),0)</f>
        <v>0.9377581059537734</v>
      </c>
    </row>
    <row r="38" spans="1:7" ht="12.75">
      <c r="A38" s="11" t="s">
        <v>120</v>
      </c>
      <c r="B38" s="17">
        <v>972787</v>
      </c>
      <c r="C38" s="17">
        <v>0</v>
      </c>
      <c r="D38" s="17">
        <v>1074559</v>
      </c>
      <c r="E38" s="17">
        <v>1074559</v>
      </c>
      <c r="F38" s="17">
        <v>1026812</v>
      </c>
      <c r="G38" s="18">
        <f>IF(AND(F65&lt;&gt;0,1026812&lt;&gt;0),IF(100*1026812/(F65-0)&lt;0.005,"*",100*1026812/(F65-0)),0)</f>
        <v>6.457657275102984</v>
      </c>
    </row>
    <row r="39" spans="1:7" ht="12.75">
      <c r="A39" s="11" t="s">
        <v>121</v>
      </c>
      <c r="B39" s="17">
        <v>395016</v>
      </c>
      <c r="C39" s="17">
        <v>0</v>
      </c>
      <c r="D39" s="17">
        <v>448151</v>
      </c>
      <c r="E39" s="17">
        <v>448151</v>
      </c>
      <c r="F39" s="17">
        <v>778531</v>
      </c>
      <c r="G39" s="18">
        <f>IF(AND(F65&lt;&gt;0,778531&lt;&gt;0),IF(100*778531/(F65-0)&lt;0.005,"*",100*778531/(F65-0)),0)</f>
        <v>4.896209214581834</v>
      </c>
    </row>
    <row r="40" spans="1:7" ht="12.75">
      <c r="A40" s="11" t="s">
        <v>122</v>
      </c>
      <c r="B40" s="17">
        <v>20997</v>
      </c>
      <c r="C40" s="17">
        <v>0</v>
      </c>
      <c r="D40" s="17">
        <v>21240</v>
      </c>
      <c r="E40" s="17">
        <v>21240</v>
      </c>
      <c r="F40" s="17">
        <v>23024</v>
      </c>
      <c r="G40" s="18">
        <f>IF(AND(F65&lt;&gt;0,23024&lt;&gt;0),IF(100*23024/(F65-0)&lt;0.005,"*",100*23024/(F65-0)),0)</f>
        <v>0.14479875683374474</v>
      </c>
    </row>
    <row r="41" spans="1:7" ht="12.75">
      <c r="A41" s="11" t="s">
        <v>123</v>
      </c>
      <c r="B41" s="17">
        <v>342771</v>
      </c>
      <c r="C41" s="17">
        <v>0</v>
      </c>
      <c r="D41" s="17">
        <v>352648</v>
      </c>
      <c r="E41" s="17">
        <v>352648</v>
      </c>
      <c r="F41" s="17">
        <v>351755</v>
      </c>
      <c r="G41" s="18">
        <f>IF(AND(F65&lt;&gt;0,351755&lt;&gt;0),IF(100*351755/(F65-0)&lt;0.005,"*",100*351755/(F65-0)),0)</f>
        <v>2.2121997354957386</v>
      </c>
    </row>
    <row r="42" spans="1:7" ht="12.75">
      <c r="A42" s="11" t="s">
        <v>124</v>
      </c>
      <c r="B42" s="17">
        <v>173065</v>
      </c>
      <c r="C42" s="17">
        <v>0</v>
      </c>
      <c r="D42" s="17">
        <v>189238</v>
      </c>
      <c r="E42" s="17">
        <v>189238</v>
      </c>
      <c r="F42" s="17">
        <v>223822</v>
      </c>
      <c r="G42" s="18">
        <f>IF(AND(F65&lt;&gt;0,223822&lt;&gt;0),IF(100*223822/(F65-0)&lt;0.005,"*",100*223822/(F65-0)),0)</f>
        <v>1.4076245375279022</v>
      </c>
    </row>
    <row r="43" spans="1:7" ht="12.75">
      <c r="A43" s="11" t="s">
        <v>125</v>
      </c>
      <c r="B43" s="17">
        <v>193533</v>
      </c>
      <c r="C43" s="17">
        <v>0</v>
      </c>
      <c r="D43" s="17">
        <v>211331</v>
      </c>
      <c r="E43" s="17">
        <v>211331</v>
      </c>
      <c r="F43" s="17">
        <v>238985</v>
      </c>
      <c r="G43" s="18">
        <f>IF(AND(F65&lt;&gt;0,238985&lt;&gt;0),IF(100*238985/(F65-0)&lt;0.005,"*",100*238985/(F65-0)),0)</f>
        <v>1.5029851851073874</v>
      </c>
    </row>
    <row r="44" spans="1:7" ht="12.75">
      <c r="A44" s="11" t="s">
        <v>126</v>
      </c>
      <c r="B44" s="17">
        <v>371121</v>
      </c>
      <c r="C44" s="17">
        <v>0</v>
      </c>
      <c r="D44" s="17">
        <v>364347</v>
      </c>
      <c r="E44" s="17">
        <v>364347</v>
      </c>
      <c r="F44" s="17">
        <v>397959</v>
      </c>
      <c r="G44" s="18">
        <f>IF(AND(F65&lt;&gt;0,397959&lt;&gt;0),IF(100*397959/(F65-0)&lt;0.005,"*",100*397959/(F65-0)),0)</f>
        <v>2.5027783387248186</v>
      </c>
    </row>
    <row r="45" spans="1:7" ht="12.75">
      <c r="A45" s="11" t="s">
        <v>127</v>
      </c>
      <c r="B45" s="17">
        <v>45987</v>
      </c>
      <c r="C45" s="17">
        <v>0</v>
      </c>
      <c r="D45" s="17">
        <v>65427</v>
      </c>
      <c r="E45" s="17">
        <v>65427</v>
      </c>
      <c r="F45" s="17">
        <v>65591</v>
      </c>
      <c r="G45" s="18">
        <f>IF(AND(F65&lt;&gt;0,65591&lt;&gt;0),IF(100*65591/(F65-0)&lt;0.005,"*",100*65591/(F65-0)),0)</f>
        <v>0.41250413739932906</v>
      </c>
    </row>
    <row r="46" spans="1:7" ht="12.75">
      <c r="A46" s="11" t="s">
        <v>128</v>
      </c>
      <c r="B46" s="17">
        <v>142878</v>
      </c>
      <c r="C46" s="17">
        <v>0</v>
      </c>
      <c r="D46" s="17">
        <v>162037</v>
      </c>
      <c r="E46" s="17">
        <v>162037</v>
      </c>
      <c r="F46" s="17">
        <v>189482</v>
      </c>
      <c r="G46" s="18">
        <f>IF(AND(F65&lt;&gt;0,189482&lt;&gt;0),IF(100*189482/(F65-0)&lt;0.005,"*",100*189482/(F65-0)),0)</f>
        <v>1.1916590532649245</v>
      </c>
    </row>
    <row r="47" spans="1:7" ht="12.75">
      <c r="A47" s="11" t="s">
        <v>129</v>
      </c>
      <c r="B47" s="17">
        <v>18868</v>
      </c>
      <c r="C47" s="17">
        <v>0</v>
      </c>
      <c r="D47" s="17">
        <v>23572</v>
      </c>
      <c r="E47" s="17">
        <v>23572</v>
      </c>
      <c r="F47" s="17">
        <v>27920</v>
      </c>
      <c r="G47" s="18">
        <f>IF(AND(F65&lt;&gt;0,27920&lt;&gt;0),IF(100*27920/(F65-0)&lt;0.005,"*",100*27920/(F65-0)),0)</f>
        <v>0.17558987538212967</v>
      </c>
    </row>
    <row r="48" spans="1:7" ht="12.75">
      <c r="A48" s="11" t="s">
        <v>130</v>
      </c>
      <c r="B48" s="17">
        <v>198088</v>
      </c>
      <c r="C48" s="17">
        <v>0</v>
      </c>
      <c r="D48" s="17">
        <v>213273</v>
      </c>
      <c r="E48" s="17">
        <v>213273</v>
      </c>
      <c r="F48" s="17">
        <v>287989</v>
      </c>
      <c r="G48" s="18">
        <f>IF(AND(F65&lt;&gt;0,287989&lt;&gt;0),IF(100*287989/(F65-0)&lt;0.005,"*",100*287989/(F65-0)),0)</f>
        <v>1.8111730881598904</v>
      </c>
    </row>
    <row r="49" spans="1:7" ht="12.75">
      <c r="A49" s="11" t="s">
        <v>131</v>
      </c>
      <c r="B49" s="17">
        <v>1068727</v>
      </c>
      <c r="C49" s="17">
        <v>0</v>
      </c>
      <c r="D49" s="17">
        <v>1345138</v>
      </c>
      <c r="E49" s="17">
        <v>1345138</v>
      </c>
      <c r="F49" s="17">
        <v>1636308</v>
      </c>
      <c r="G49" s="18">
        <f>IF(AND(F65&lt;&gt;0,1636308&lt;&gt;0),IF(100*1636308/(F65-0)&lt;0.005,"*",100*1636308/(F65-0)),0)</f>
        <v>10.290799348380439</v>
      </c>
    </row>
    <row r="50" spans="1:7" ht="12.75">
      <c r="A50" s="11" t="s">
        <v>132</v>
      </c>
      <c r="B50" s="17">
        <v>59109</v>
      </c>
      <c r="C50" s="17">
        <v>0</v>
      </c>
      <c r="D50" s="17">
        <v>148911</v>
      </c>
      <c r="E50" s="17">
        <v>148911</v>
      </c>
      <c r="F50" s="17">
        <v>139689</v>
      </c>
      <c r="G50" s="18">
        <f>IF(AND(F65&lt;&gt;0,139689&lt;&gt;0),IF(100*139689/(F65-0)&lt;0.005,"*",100*139689/(F65-0)),0)</f>
        <v>0.8785091010836071</v>
      </c>
    </row>
    <row r="51" spans="1:7" ht="12.75">
      <c r="A51" s="11" t="s">
        <v>133</v>
      </c>
      <c r="B51" s="17">
        <v>15584</v>
      </c>
      <c r="C51" s="17">
        <v>0</v>
      </c>
      <c r="D51" s="17">
        <v>29299</v>
      </c>
      <c r="E51" s="17">
        <v>29299</v>
      </c>
      <c r="F51" s="17">
        <v>17042</v>
      </c>
      <c r="G51" s="18">
        <f>IF(AND(F65&lt;&gt;0,17042&lt;&gt;0),IF(100*17042/(F65-0)&lt;0.005,"*",100*17042/(F65-0)),0)</f>
        <v>0.1071777455681323</v>
      </c>
    </row>
    <row r="52" spans="1:7" ht="12.75">
      <c r="A52" s="11" t="s">
        <v>134</v>
      </c>
      <c r="B52" s="17">
        <v>247586</v>
      </c>
      <c r="C52" s="17">
        <v>0</v>
      </c>
      <c r="D52" s="17">
        <v>265185</v>
      </c>
      <c r="E52" s="17">
        <v>265185</v>
      </c>
      <c r="F52" s="17">
        <v>313572</v>
      </c>
      <c r="G52" s="18">
        <f>IF(AND(F65&lt;&gt;0,313572&lt;&gt;0),IF(100*313572/(F65-0)&lt;0.005,"*",100*313572/(F65-0)),0)</f>
        <v>1.9720654872251133</v>
      </c>
    </row>
    <row r="53" spans="1:7" ht="12.75">
      <c r="A53" s="11" t="s">
        <v>135</v>
      </c>
      <c r="B53" s="17">
        <v>128952</v>
      </c>
      <c r="C53" s="17">
        <v>0</v>
      </c>
      <c r="D53" s="17">
        <v>215289</v>
      </c>
      <c r="E53" s="17">
        <v>215289</v>
      </c>
      <c r="F53" s="17">
        <v>202223</v>
      </c>
      <c r="G53" s="18">
        <f>IF(AND(F65&lt;&gt;0,202223&lt;&gt;0),IF(100*202223/(F65-0)&lt;0.005,"*",100*202223/(F65-0)),0)</f>
        <v>1.2717876564971493</v>
      </c>
    </row>
    <row r="54" spans="1:7" ht="12.75">
      <c r="A54" s="11" t="s">
        <v>136</v>
      </c>
      <c r="B54" s="17">
        <v>55249</v>
      </c>
      <c r="C54" s="17">
        <v>0</v>
      </c>
      <c r="D54" s="17">
        <v>65439</v>
      </c>
      <c r="E54" s="17">
        <v>65439</v>
      </c>
      <c r="F54" s="17">
        <v>75095</v>
      </c>
      <c r="G54" s="18">
        <f>IF(AND(F65&lt;&gt;0,75095&lt;&gt;0),IF(100*75095/(F65-0)&lt;0.005,"*",100*75095/(F65-0)),0)</f>
        <v>0.47227513222854683</v>
      </c>
    </row>
    <row r="55" spans="1:7" ht="12.75">
      <c r="A55" s="11" t="s">
        <v>137</v>
      </c>
      <c r="B55" s="17">
        <v>221241</v>
      </c>
      <c r="C55" s="17">
        <v>0</v>
      </c>
      <c r="D55" s="17">
        <v>225824</v>
      </c>
      <c r="E55" s="17">
        <v>225824</v>
      </c>
      <c r="F55" s="17">
        <v>198149</v>
      </c>
      <c r="G55" s="18">
        <f>IF(AND(F65&lt;&gt;0,198149&lt;&gt;0),IF(100*198149/(F65-0)&lt;0.005,"*",100*198149/(F65-0)),0)</f>
        <v>1.2461661252540692</v>
      </c>
    </row>
    <row r="56" spans="1:7" ht="12.75">
      <c r="A56" s="11" t="s">
        <v>138</v>
      </c>
      <c r="B56" s="17">
        <v>11393</v>
      </c>
      <c r="C56" s="17">
        <v>0</v>
      </c>
      <c r="D56" s="17">
        <v>10917</v>
      </c>
      <c r="E56" s="17">
        <v>10917</v>
      </c>
      <c r="F56" s="17">
        <v>13862</v>
      </c>
      <c r="G56" s="18">
        <f>IF(AND(F65&lt;&gt;0,13862&lt;&gt;0),IF(100*13862/(F65-0)&lt;0.005,"*",100*13862/(F65-0)),0)</f>
        <v>0.08717861219724504</v>
      </c>
    </row>
    <row r="57" spans="1:7" ht="12.75">
      <c r="A57" s="11" t="s">
        <v>139</v>
      </c>
      <c r="B57" s="17">
        <v>1696</v>
      </c>
      <c r="C57" s="17">
        <v>0</v>
      </c>
      <c r="D57" s="17">
        <v>2135</v>
      </c>
      <c r="E57" s="17">
        <v>2135</v>
      </c>
      <c r="F57" s="17">
        <v>2461</v>
      </c>
      <c r="G57" s="18">
        <f>IF(AND(F65&lt;&gt;0,2461&lt;&gt;0),IF(100*2461/(F65-0)&lt;0.005,"*",100*2461/(F65-0)),0)</f>
        <v>0.015477316737658349</v>
      </c>
    </row>
    <row r="58" spans="1:7" ht="12.75">
      <c r="A58" s="11" t="s">
        <v>140</v>
      </c>
      <c r="B58" s="17">
        <v>5903</v>
      </c>
      <c r="C58" s="17">
        <v>0</v>
      </c>
      <c r="D58" s="17">
        <v>8004</v>
      </c>
      <c r="E58" s="17">
        <v>8004</v>
      </c>
      <c r="F58" s="17">
        <v>8589</v>
      </c>
      <c r="G58" s="18">
        <f>IF(AND(F65&lt;&gt;0,8589&lt;&gt;0),IF(100*8589/(F65-0)&lt;0.005,"*",100*8589/(F65-0)),0)</f>
        <v>0.05401652720834927</v>
      </c>
    </row>
    <row r="59" spans="1:7" ht="12.75">
      <c r="A59" s="11" t="s">
        <v>141</v>
      </c>
      <c r="B59" s="17">
        <v>1157</v>
      </c>
      <c r="C59" s="17">
        <v>0</v>
      </c>
      <c r="D59" s="17">
        <v>1043</v>
      </c>
      <c r="E59" s="17">
        <v>1043</v>
      </c>
      <c r="F59" s="17">
        <v>1714</v>
      </c>
      <c r="G59" s="18">
        <f>IF(AND(F65&lt;&gt;0,1714&lt;&gt;0),IF(100*1714/(F65-0)&lt;0.005,"*",100*1714/(F65-0)),0)</f>
        <v>0.01077940710619521</v>
      </c>
    </row>
    <row r="60" spans="1:7" ht="12.75">
      <c r="A60" s="11" t="s">
        <v>142</v>
      </c>
      <c r="B60" s="17">
        <v>183241</v>
      </c>
      <c r="C60" s="17">
        <v>0</v>
      </c>
      <c r="D60" s="17">
        <v>179847</v>
      </c>
      <c r="E60" s="17">
        <v>179847</v>
      </c>
      <c r="F60" s="17">
        <v>187987</v>
      </c>
      <c r="G60" s="18">
        <f>IF(AND(F65&lt;&gt;0,187987&lt;&gt;0),IF(100*187987/(F65-0)&lt;0.005,"*",100*187987/(F65-0)),0)</f>
        <v>1.1822569449663471</v>
      </c>
    </row>
    <row r="61" spans="1:7" ht="12.75">
      <c r="A61" s="11" t="s">
        <v>143</v>
      </c>
      <c r="B61" s="17">
        <v>0</v>
      </c>
      <c r="C61" s="17">
        <v>0</v>
      </c>
      <c r="D61" s="17">
        <v>0</v>
      </c>
      <c r="E61" s="17">
        <v>0</v>
      </c>
      <c r="F61" s="17">
        <v>0</v>
      </c>
      <c r="G61" s="18">
        <f>IF(AND(F65&lt;&gt;0,0&lt;&gt;0),IF(100*0/(F65-0)&lt;0.005,"*",100*0/(F65-0)),0)</f>
        <v>0</v>
      </c>
    </row>
    <row r="62" spans="1:7" ht="12.75">
      <c r="A62" s="11" t="s">
        <v>144</v>
      </c>
      <c r="B62" s="17">
        <v>4960</v>
      </c>
      <c r="C62" s="17">
        <v>0</v>
      </c>
      <c r="D62" s="17">
        <v>5323</v>
      </c>
      <c r="E62" s="17">
        <v>5323</v>
      </c>
      <c r="F62" s="17">
        <v>5779</v>
      </c>
      <c r="G62" s="18">
        <f>IF(AND(F65&lt;&gt;0,5779&lt;&gt;0),IF(100*5779/(F65-0)&lt;0.005,"*",100*5779/(F65-0)),0)</f>
        <v>0.0363443370284143</v>
      </c>
    </row>
    <row r="63" spans="1:7" ht="12.75">
      <c r="A63" s="11" t="s">
        <v>145</v>
      </c>
      <c r="B63" s="17">
        <v>0</v>
      </c>
      <c r="C63" s="17">
        <v>0</v>
      </c>
      <c r="D63" s="17">
        <v>0</v>
      </c>
      <c r="E63" s="17">
        <v>0</v>
      </c>
      <c r="F63" s="17">
        <v>0</v>
      </c>
      <c r="G63" s="18">
        <f>IF(AND(F65&lt;&gt;0,0&lt;&gt;0),IF(100*0/(F65-0)&lt;0.005,"*",100*0/(F65-0)),0)</f>
        <v>0</v>
      </c>
    </row>
    <row r="64" spans="1:7" ht="12.75">
      <c r="A64" s="11" t="s">
        <v>146</v>
      </c>
      <c r="B64" s="17">
        <v>0</v>
      </c>
      <c r="C64" s="17">
        <v>0</v>
      </c>
      <c r="D64" s="17">
        <v>0</v>
      </c>
      <c r="E64" s="17">
        <v>0</v>
      </c>
      <c r="F64" s="17">
        <v>0</v>
      </c>
      <c r="G64" s="18">
        <v>0</v>
      </c>
    </row>
    <row r="65" spans="1:7" ht="15" customHeight="1">
      <c r="A65" s="19" t="s">
        <v>87</v>
      </c>
      <c r="B65" s="20">
        <f>172891+23911+80667+93980+1744125+157512+48065+20261+20711+566046+410564+46316+66216+361410+162871+126012+85146+171914+180137+27361+234274+413777+118575+41135+226177+163187+91735+69689+43105+20002+344793+73635+972787+395016+20997+342771+173065+193533+371121+45987+142878+18868+198088+1068727+59109+15584+247586+128952+55249+221241+11393+1696+5903+1157+183241+0+4960+0+0+0</f>
        <v>11286109</v>
      </c>
      <c r="C65" s="20">
        <f>0+0+0+0+0+0+0+0+0+0+0+0+0+0+0+0+0+0+0+0+0+0+0+0+0+0+0+0+0+0+0+0+0+0+0+0+0+0+0+0+0+0+0+0+0+0+0+0+0+0+0+0+0+0+0+0+0+0+0+0</f>
        <v>0</v>
      </c>
      <c r="D65" s="20">
        <f>267592+20378+123658+174524+1995222+228329+61880+38531+25629+594955+418168+46343+66420+406234+165657+147611+112201+232038+238943+32289+290765+535767+323907+98575+246726+172903+95823+78189+63304+39174+406770+122483+1074559+448151+21240+352648+189238+211331+364347+65427+162037+23572+213273+1345138+148911+29299+265185+215289+65439+225824+10917+2135+8004+1043+179847+0+5323+0+0+0</f>
        <v>13499165</v>
      </c>
      <c r="E65" s="20">
        <f>SUM(C65:D65)</f>
        <v>13499165</v>
      </c>
      <c r="F65" s="20">
        <f>316355+28767+200909+45805+2898031+234515+95122+32078+26074+767032+502471+49862+75489+386031+191666+155689+122949+284635+291872+35594+343156+604250+286969+92708+299251+193052+103643+79912+76312+32049+484991+149110+1026812+778531+23024+351755+223822+238985+397959+65591+189482+27920+287989+1636308+139689+17042+313572+202223+75095+198149+13862+2461+8589+1714+187987+0+5779+0+0+0</f>
        <v>15900689</v>
      </c>
      <c r="G65" s="21" t="s">
        <v>147</v>
      </c>
    </row>
    <row r="66" spans="1:7" ht="15" customHeight="1">
      <c r="A66" s="33" t="s">
        <v>148</v>
      </c>
      <c r="B66" s="33"/>
      <c r="C66" s="33"/>
      <c r="D66" s="33"/>
      <c r="E66" s="33"/>
      <c r="F66" s="33"/>
      <c r="G66" s="33"/>
    </row>
    <row r="67" spans="1:7" ht="15" customHeight="1">
      <c r="A67" s="26" t="s">
        <v>149</v>
      </c>
      <c r="B67" s="26"/>
      <c r="C67" s="26"/>
      <c r="D67" s="26"/>
      <c r="E67" s="26"/>
      <c r="F67" s="26"/>
      <c r="G67" s="26"/>
    </row>
  </sheetData>
  <sheetProtection/>
  <mergeCells count="6">
    <mergeCell ref="A67:G67"/>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G73"/>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167</v>
      </c>
      <c r="B1" s="10"/>
      <c r="C1" s="10"/>
      <c r="D1" s="10"/>
      <c r="E1" s="10"/>
      <c r="F1" s="10"/>
      <c r="G1" s="12" t="s">
        <v>173</v>
      </c>
    </row>
    <row r="2" spans="1:7" ht="12.75">
      <c r="A2" s="13" t="s">
        <v>174</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3815045</v>
      </c>
      <c r="C6" s="17">
        <v>0</v>
      </c>
      <c r="D6" s="17">
        <v>4228202</v>
      </c>
      <c r="E6" s="17">
        <v>4228202</v>
      </c>
      <c r="F6" s="17">
        <v>4244829</v>
      </c>
      <c r="G6" s="18">
        <f>IF(AND(F70&lt;&gt;9279369,4244829&lt;&gt;0),IF(100*4244829/(F70-9279369)&lt;0.005,"*",100*4244829/(F70-9279369)),0)</f>
        <v>1.149508790909159</v>
      </c>
    </row>
    <row r="7" spans="1:7" ht="12.75">
      <c r="A7" s="11" t="s">
        <v>89</v>
      </c>
      <c r="B7" s="17">
        <v>713184</v>
      </c>
      <c r="C7" s="17">
        <v>0</v>
      </c>
      <c r="D7" s="17">
        <v>1060996</v>
      </c>
      <c r="E7" s="17">
        <v>1060996</v>
      </c>
      <c r="F7" s="17">
        <v>1060996</v>
      </c>
      <c r="G7" s="18">
        <f>IF(AND(F70&lt;&gt;9279369,1060996&lt;&gt;0),IF(100*1060996/(F70-9279369)&lt;0.005,"*",100*1060996/(F70-9279369)),0)</f>
        <v>0.28731999077452924</v>
      </c>
    </row>
    <row r="8" spans="1:7" ht="12.75">
      <c r="A8" s="11" t="s">
        <v>90</v>
      </c>
      <c r="B8" s="17">
        <v>8096247</v>
      </c>
      <c r="C8" s="17">
        <v>0</v>
      </c>
      <c r="D8" s="17">
        <v>9057266</v>
      </c>
      <c r="E8" s="17">
        <v>9057266</v>
      </c>
      <c r="F8" s="17">
        <v>9530592</v>
      </c>
      <c r="G8" s="18">
        <f>IF(AND(F70&lt;&gt;9279369,9530592&lt;&gt;0),IF(100*9530592/(F70-9279369)&lt;0.005,"*",100*9530592/(F70-9279369)),0)</f>
        <v>2.5809047399950633</v>
      </c>
    </row>
    <row r="9" spans="1:7" ht="12.75">
      <c r="A9" s="11" t="s">
        <v>91</v>
      </c>
      <c r="B9" s="17">
        <v>4566258</v>
      </c>
      <c r="C9" s="17">
        <v>0</v>
      </c>
      <c r="D9" s="17">
        <v>5363228</v>
      </c>
      <c r="E9" s="17">
        <v>5363228</v>
      </c>
      <c r="F9" s="17">
        <v>5497699</v>
      </c>
      <c r="G9" s="18">
        <f>IF(AND(F70&lt;&gt;9279369,5497699&lt;&gt;0),IF(100*5497699/(F70-9279369)&lt;0.005,"*",100*5497699/(F70-9279369)),0)</f>
        <v>1.4887886721167078</v>
      </c>
    </row>
    <row r="10" spans="1:7" ht="12.75">
      <c r="A10" s="11" t="s">
        <v>92</v>
      </c>
      <c r="B10" s="17">
        <v>56718405</v>
      </c>
      <c r="C10" s="17">
        <v>0</v>
      </c>
      <c r="D10" s="17">
        <v>55158572</v>
      </c>
      <c r="E10" s="17">
        <v>55158572</v>
      </c>
      <c r="F10" s="17">
        <v>51911674</v>
      </c>
      <c r="G10" s="18">
        <f>IF(AND(F70&lt;&gt;9279369,51911674&lt;&gt;0),IF(100*51911674/(F70-9279369)&lt;0.005,"*",100*51911674/(F70-9279369)),0)</f>
        <v>14.057792578643435</v>
      </c>
    </row>
    <row r="11" spans="1:7" ht="12.75">
      <c r="A11" s="11" t="s">
        <v>93</v>
      </c>
      <c r="B11" s="17">
        <v>4654380</v>
      </c>
      <c r="C11" s="17">
        <v>0</v>
      </c>
      <c r="D11" s="17">
        <v>5063899</v>
      </c>
      <c r="E11" s="17">
        <v>5063899</v>
      </c>
      <c r="F11" s="17">
        <v>5015903</v>
      </c>
      <c r="G11" s="18">
        <f>IF(AND(F70&lt;&gt;9279369,5015903&lt;&gt;0),IF(100*5015903/(F70-9279369)&lt;0.005,"*",100*5015903/(F70-9279369)),0)</f>
        <v>1.3583172827097685</v>
      </c>
    </row>
    <row r="12" spans="1:7" ht="12.75">
      <c r="A12" s="11" t="s">
        <v>94</v>
      </c>
      <c r="B12" s="17">
        <v>4489582</v>
      </c>
      <c r="C12" s="17">
        <v>0</v>
      </c>
      <c r="D12" s="17">
        <v>4582253</v>
      </c>
      <c r="E12" s="17">
        <v>4582253</v>
      </c>
      <c r="F12" s="17">
        <v>4697747</v>
      </c>
      <c r="G12" s="18">
        <f>IF(AND(F70&lt;&gt;9279369,4697747&lt;&gt;0),IF(100*4697747/(F70-9279369)&lt;0.005,"*",100*4697747/(F70-9279369)),0)</f>
        <v>1.272159956023465</v>
      </c>
    </row>
    <row r="13" spans="1:7" ht="12.75">
      <c r="A13" s="11" t="s">
        <v>95</v>
      </c>
      <c r="B13" s="17">
        <v>1235491</v>
      </c>
      <c r="C13" s="17">
        <v>0</v>
      </c>
      <c r="D13" s="17">
        <v>1384096</v>
      </c>
      <c r="E13" s="17">
        <v>1384096</v>
      </c>
      <c r="F13" s="17">
        <v>1459036</v>
      </c>
      <c r="G13" s="18">
        <f>IF(AND(F70&lt;&gt;9279369,1459036&lt;&gt;0),IF(100*1459036/(F70-9279369)&lt;0.005,"*",100*1459036/(F70-9279369)),0)</f>
        <v>0.395110075871828</v>
      </c>
    </row>
    <row r="14" spans="1:7" ht="12.75">
      <c r="A14" s="11" t="s">
        <v>96</v>
      </c>
      <c r="B14" s="17">
        <v>1852865</v>
      </c>
      <c r="C14" s="17">
        <v>0</v>
      </c>
      <c r="D14" s="17">
        <v>2156918</v>
      </c>
      <c r="E14" s="17">
        <v>2156918</v>
      </c>
      <c r="F14" s="17">
        <v>2227941</v>
      </c>
      <c r="G14" s="18">
        <f>IF(AND(F70&lt;&gt;9279369,2227941&lt;&gt;0),IF(100*2227941/(F70-9279369)&lt;0.005,"*",100*2227941/(F70-9279369)),0)</f>
        <v>0.6033311978237387</v>
      </c>
    </row>
    <row r="15" spans="1:7" ht="12.75">
      <c r="A15" s="11" t="s">
        <v>97</v>
      </c>
      <c r="B15" s="17">
        <v>13242517</v>
      </c>
      <c r="C15" s="17">
        <v>0</v>
      </c>
      <c r="D15" s="17">
        <v>13964879</v>
      </c>
      <c r="E15" s="17">
        <v>13964879</v>
      </c>
      <c r="F15" s="17">
        <v>14816363</v>
      </c>
      <c r="G15" s="18">
        <f>IF(AND(F70&lt;&gt;9279369,14816363&lt;&gt;0),IF(100*14816363/(F70-9279369)&lt;0.005,"*",100*14816363/(F70-9279369)),0)</f>
        <v>4.012302855498113</v>
      </c>
    </row>
    <row r="16" spans="1:7" ht="12.75">
      <c r="A16" s="11" t="s">
        <v>98</v>
      </c>
      <c r="B16" s="17">
        <v>6923753</v>
      </c>
      <c r="C16" s="17">
        <v>0</v>
      </c>
      <c r="D16" s="17">
        <v>6760281</v>
      </c>
      <c r="E16" s="17">
        <v>6760281</v>
      </c>
      <c r="F16" s="17">
        <v>6675498</v>
      </c>
      <c r="G16" s="18">
        <f>IF(AND(F70&lt;&gt;9279369,6675498&lt;&gt;0),IF(100*6675498/(F70-9279369)&lt;0.005,"*",100*6675498/(F70-9279369)),0)</f>
        <v>1.8077391656287</v>
      </c>
    </row>
    <row r="17" spans="1:7" ht="12.75">
      <c r="A17" s="11" t="s">
        <v>99</v>
      </c>
      <c r="B17" s="17">
        <v>1350700</v>
      </c>
      <c r="C17" s="17">
        <v>0</v>
      </c>
      <c r="D17" s="17">
        <v>1511312</v>
      </c>
      <c r="E17" s="17">
        <v>1511312</v>
      </c>
      <c r="F17" s="17">
        <v>1505660</v>
      </c>
      <c r="G17" s="18">
        <f>IF(AND(F70&lt;&gt;9279369,1505660&lt;&gt;0),IF(100*1505660/(F70-9279369)&lt;0.005,"*",100*1505660/(F70-9279369)),0)</f>
        <v>0.4077359549984898</v>
      </c>
    </row>
    <row r="18" spans="1:7" ht="12.75">
      <c r="A18" s="11" t="s">
        <v>100</v>
      </c>
      <c r="B18" s="17">
        <v>1305845</v>
      </c>
      <c r="C18" s="17">
        <v>0</v>
      </c>
      <c r="D18" s="17">
        <v>1426622</v>
      </c>
      <c r="E18" s="17">
        <v>1426622</v>
      </c>
      <c r="F18" s="17">
        <v>1528448</v>
      </c>
      <c r="G18" s="18">
        <f>IF(AND(F70&lt;&gt;9279369,1528448&lt;&gt;0),IF(100*1528448/(F70-9279369)&lt;0.005,"*",100*1528448/(F70-9279369)),0)</f>
        <v>0.4139069942387602</v>
      </c>
    </row>
    <row r="19" spans="1:7" ht="12.75">
      <c r="A19" s="11" t="s">
        <v>101</v>
      </c>
      <c r="B19" s="17">
        <v>10784849</v>
      </c>
      <c r="C19" s="17">
        <v>0</v>
      </c>
      <c r="D19" s="17">
        <v>8951164</v>
      </c>
      <c r="E19" s="17">
        <v>8951164</v>
      </c>
      <c r="F19" s="17">
        <v>10022979</v>
      </c>
      <c r="G19" s="18">
        <f>IF(AND(F70&lt;&gt;9279369,10022979&lt;&gt;0),IF(100*10022979/(F70-9279369)&lt;0.005,"*",100*10022979/(F70-9279369)),0)</f>
        <v>2.714244194901112</v>
      </c>
    </row>
    <row r="20" spans="1:7" ht="12.75">
      <c r="A20" s="11" t="s">
        <v>102</v>
      </c>
      <c r="B20" s="17">
        <v>6651152</v>
      </c>
      <c r="C20" s="17">
        <v>0</v>
      </c>
      <c r="D20" s="17">
        <v>9310021</v>
      </c>
      <c r="E20" s="17">
        <v>9310021</v>
      </c>
      <c r="F20" s="17">
        <v>8844527</v>
      </c>
      <c r="G20" s="18">
        <f>IF(AND(F70&lt;&gt;9279369,8844527&lt;&gt;0),IF(100*8844527/(F70-9279369)&lt;0.005,"*",100*8844527/(F70-9279369)),0)</f>
        <v>2.3951168675895804</v>
      </c>
    </row>
    <row r="21" spans="1:7" ht="12.75">
      <c r="A21" s="11" t="s">
        <v>103</v>
      </c>
      <c r="B21" s="17">
        <v>2999271</v>
      </c>
      <c r="C21" s="17">
        <v>0</v>
      </c>
      <c r="D21" s="17">
        <v>3273678</v>
      </c>
      <c r="E21" s="17">
        <v>3273678</v>
      </c>
      <c r="F21" s="17">
        <v>3493723</v>
      </c>
      <c r="G21" s="18">
        <f>IF(AND(F70&lt;&gt;9279369,3493723&lt;&gt;0),IF(100*3493723/(F70-9279369)&lt;0.005,"*",100*3493723/(F70-9279369)),0)</f>
        <v>0.9461076763048688</v>
      </c>
    </row>
    <row r="22" spans="1:7" ht="12.75">
      <c r="A22" s="11" t="s">
        <v>104</v>
      </c>
      <c r="B22" s="17">
        <v>1834014</v>
      </c>
      <c r="C22" s="17">
        <v>0</v>
      </c>
      <c r="D22" s="17">
        <v>2036981</v>
      </c>
      <c r="E22" s="17">
        <v>2036981</v>
      </c>
      <c r="F22" s="17">
        <v>2042067</v>
      </c>
      <c r="G22" s="18">
        <f>IF(AND(F70&lt;&gt;9279369,2042067&lt;&gt;0),IF(100*2042067/(F70-9279369)&lt;0.005,"*",100*2042067/(F70-9279369)),0)</f>
        <v>0.55299612025019</v>
      </c>
    </row>
    <row r="23" spans="1:7" ht="12.75">
      <c r="A23" s="11" t="s">
        <v>105</v>
      </c>
      <c r="B23" s="17">
        <v>7678885</v>
      </c>
      <c r="C23" s="17">
        <v>0</v>
      </c>
      <c r="D23" s="17">
        <v>8500784</v>
      </c>
      <c r="E23" s="17">
        <v>8500784</v>
      </c>
      <c r="F23" s="17">
        <v>8698419</v>
      </c>
      <c r="G23" s="18">
        <f>IF(AND(F70&lt;&gt;9279369,8698419&lt;&gt;0),IF(100*8698419/(F70-9279369)&lt;0.005,"*",100*8698419/(F70-9279369)),0)</f>
        <v>2.3555505080443186</v>
      </c>
    </row>
    <row r="24" spans="1:7" ht="12.75">
      <c r="A24" s="11" t="s">
        <v>106</v>
      </c>
      <c r="B24" s="17">
        <v>5115715</v>
      </c>
      <c r="C24" s="17">
        <v>0</v>
      </c>
      <c r="D24" s="17">
        <v>5611326</v>
      </c>
      <c r="E24" s="17">
        <v>5611326</v>
      </c>
      <c r="F24" s="17">
        <v>5713288</v>
      </c>
      <c r="G24" s="18">
        <f>IF(AND(F70&lt;&gt;9279369,5713288&lt;&gt;0),IF(100*5713288/(F70-9279369)&lt;0.005,"*",100*5713288/(F70-9279369)),0)</f>
        <v>1.547170635376786</v>
      </c>
    </row>
    <row r="25" spans="1:7" ht="12.75">
      <c r="A25" s="11" t="s">
        <v>107</v>
      </c>
      <c r="B25" s="17">
        <v>1647792</v>
      </c>
      <c r="C25" s="17">
        <v>0</v>
      </c>
      <c r="D25" s="17">
        <v>1729074</v>
      </c>
      <c r="E25" s="17">
        <v>1729074</v>
      </c>
      <c r="F25" s="17">
        <v>1767526</v>
      </c>
      <c r="G25" s="18">
        <f>IF(AND(F70&lt;&gt;9279369,1767526&lt;&gt;0),IF(100*1767526/(F70-9279369)&lt;0.005,"*",100*1767526/(F70-9279369)),0)</f>
        <v>0.47864982904152376</v>
      </c>
    </row>
    <row r="26" spans="1:7" ht="12.75">
      <c r="A26" s="11" t="s">
        <v>108</v>
      </c>
      <c r="B26" s="17">
        <v>5937288</v>
      </c>
      <c r="C26" s="17">
        <v>0</v>
      </c>
      <c r="D26" s="17">
        <v>6150223</v>
      </c>
      <c r="E26" s="17">
        <v>6150223</v>
      </c>
      <c r="F26" s="17">
        <v>6548003</v>
      </c>
      <c r="G26" s="18">
        <f>IF(AND(F70&lt;&gt;9279369,6548003&lt;&gt;0),IF(100*6548003/(F70-9279369)&lt;0.005,"*",100*6548003/(F70-9279369)),0)</f>
        <v>1.77321324637566</v>
      </c>
    </row>
    <row r="27" spans="1:7" ht="12.75">
      <c r="A27" s="11" t="s">
        <v>109</v>
      </c>
      <c r="B27" s="17">
        <v>9117269</v>
      </c>
      <c r="C27" s="17">
        <v>0</v>
      </c>
      <c r="D27" s="17">
        <v>10215520</v>
      </c>
      <c r="E27" s="17">
        <v>10215520</v>
      </c>
      <c r="F27" s="17">
        <v>9658326</v>
      </c>
      <c r="G27" s="18">
        <f>IF(AND(F70&lt;&gt;9279369,9658326&lt;&gt;0),IF(100*9658326/(F70-9279369)&lt;0.005,"*",100*9658326/(F70-9279369)),0)</f>
        <v>2.615495380960339</v>
      </c>
    </row>
    <row r="28" spans="1:7" ht="12.75">
      <c r="A28" s="11" t="s">
        <v>110</v>
      </c>
      <c r="B28" s="17">
        <v>12017163</v>
      </c>
      <c r="C28" s="17">
        <v>0</v>
      </c>
      <c r="D28" s="17">
        <v>13481742</v>
      </c>
      <c r="E28" s="17">
        <v>13481742</v>
      </c>
      <c r="F28" s="17">
        <v>12908713</v>
      </c>
      <c r="G28" s="18">
        <f>IF(AND(F70&lt;&gt;9279369,12908713&lt;&gt;0),IF(100*12908713/(F70-9279369)&lt;0.005,"*",100*12908713/(F70-9279369)),0)</f>
        <v>3.4957071469365064</v>
      </c>
    </row>
    <row r="29" spans="1:7" ht="12.75">
      <c r="A29" s="11" t="s">
        <v>111</v>
      </c>
      <c r="B29" s="17">
        <v>6630652</v>
      </c>
      <c r="C29" s="17">
        <v>0</v>
      </c>
      <c r="D29" s="17">
        <v>7036878</v>
      </c>
      <c r="E29" s="17">
        <v>7036878</v>
      </c>
      <c r="F29" s="17">
        <v>7364525</v>
      </c>
      <c r="G29" s="18">
        <f>IF(AND(F70&lt;&gt;9279369,7364525&lt;&gt;0),IF(100*7364525/(F70-9279369)&lt;0.005,"*",100*7364525/(F70-9279369)),0)</f>
        <v>1.9943291539824748</v>
      </c>
    </row>
    <row r="30" spans="1:7" ht="12.75">
      <c r="A30" s="11" t="s">
        <v>112</v>
      </c>
      <c r="B30" s="17">
        <v>3923916</v>
      </c>
      <c r="C30" s="17">
        <v>0</v>
      </c>
      <c r="D30" s="17">
        <v>4227529</v>
      </c>
      <c r="E30" s="17">
        <v>4227529</v>
      </c>
      <c r="F30" s="17">
        <v>4279341</v>
      </c>
      <c r="G30" s="18">
        <f>IF(AND(F70&lt;&gt;9279369,4279341&lt;&gt;0),IF(100*4279341/(F70-9279369)&lt;0.005,"*",100*4279341/(F70-9279369)),0)</f>
        <v>1.1588547144768355</v>
      </c>
    </row>
    <row r="31" spans="1:7" ht="12.75">
      <c r="A31" s="11" t="s">
        <v>113</v>
      </c>
      <c r="B31" s="17">
        <v>6317848</v>
      </c>
      <c r="C31" s="17">
        <v>0</v>
      </c>
      <c r="D31" s="17">
        <v>6789301</v>
      </c>
      <c r="E31" s="17">
        <v>6789301</v>
      </c>
      <c r="F31" s="17">
        <v>6910308</v>
      </c>
      <c r="G31" s="18">
        <f>IF(AND(F70&lt;&gt;9279369,6910308&lt;&gt;0),IF(100*6910308/(F70-9279369)&lt;0.005,"*",100*6910308/(F70-9279369)),0)</f>
        <v>1.8713262168840934</v>
      </c>
    </row>
    <row r="32" spans="1:7" ht="12.75">
      <c r="A32" s="11" t="s">
        <v>114</v>
      </c>
      <c r="B32" s="17">
        <v>821101</v>
      </c>
      <c r="C32" s="17">
        <v>0</v>
      </c>
      <c r="D32" s="17">
        <v>816994</v>
      </c>
      <c r="E32" s="17">
        <v>816994</v>
      </c>
      <c r="F32" s="17">
        <v>834514</v>
      </c>
      <c r="G32" s="18">
        <f>IF(AND(F70&lt;&gt;9279369,834514&lt;&gt;0),IF(100*834514/(F70-9279369)&lt;0.005,"*",100*834514/(F70-9279369)),0)</f>
        <v>0.22598817976808158</v>
      </c>
    </row>
    <row r="33" spans="1:7" ht="12.75">
      <c r="A33" s="11" t="s">
        <v>115</v>
      </c>
      <c r="B33" s="17">
        <v>1077254</v>
      </c>
      <c r="C33" s="17">
        <v>0</v>
      </c>
      <c r="D33" s="17">
        <v>1062547</v>
      </c>
      <c r="E33" s="17">
        <v>1062547</v>
      </c>
      <c r="F33" s="17">
        <v>1095480</v>
      </c>
      <c r="G33" s="18">
        <f>IF(AND(F70&lt;&gt;9279369,1095480&lt;&gt;0),IF(100*1095480/(F70-9279369)&lt;0.005,"*",100*1095480/(F70-9279369)),0)</f>
        <v>0.2966583318821949</v>
      </c>
    </row>
    <row r="34" spans="1:7" ht="12.75">
      <c r="A34" s="11" t="s">
        <v>116</v>
      </c>
      <c r="B34" s="17">
        <v>2454119</v>
      </c>
      <c r="C34" s="17">
        <v>0</v>
      </c>
      <c r="D34" s="17">
        <v>2672745</v>
      </c>
      <c r="E34" s="17">
        <v>2672745</v>
      </c>
      <c r="F34" s="17">
        <v>2552113</v>
      </c>
      <c r="G34" s="18">
        <f>IF(AND(F70&lt;&gt;9279369,2552113&lt;&gt;0),IF(100*2552113/(F70-9279369)&lt;0.005,"*",100*2552113/(F70-9279369)),0)</f>
        <v>0.6911176702038049</v>
      </c>
    </row>
    <row r="35" spans="1:7" ht="12.75">
      <c r="A35" s="11" t="s">
        <v>117</v>
      </c>
      <c r="B35" s="17">
        <v>1102460</v>
      </c>
      <c r="C35" s="17">
        <v>0</v>
      </c>
      <c r="D35" s="17">
        <v>1307665</v>
      </c>
      <c r="E35" s="17">
        <v>1307665</v>
      </c>
      <c r="F35" s="17">
        <v>1347374</v>
      </c>
      <c r="G35" s="18">
        <f>IF(AND(F70&lt;&gt;9279369,1347374&lt;&gt;0),IF(100*1347374/(F70-9279369)&lt;0.005,"*",100*1347374/(F70-9279369)),0)</f>
        <v>0.3648717669527883</v>
      </c>
    </row>
    <row r="36" spans="1:7" ht="12.75">
      <c r="A36" s="11" t="s">
        <v>118</v>
      </c>
      <c r="B36" s="17">
        <v>9086088</v>
      </c>
      <c r="C36" s="17">
        <v>0</v>
      </c>
      <c r="D36" s="17">
        <v>9351823</v>
      </c>
      <c r="E36" s="17">
        <v>9351823</v>
      </c>
      <c r="F36" s="17">
        <v>9725370</v>
      </c>
      <c r="G36" s="18">
        <f>IF(AND(F70&lt;&gt;9279369,9725370&lt;&gt;0),IF(100*9725370/(F70-9279369)&lt;0.005,"*",100*9725370/(F70-9279369)),0)</f>
        <v>2.6336510398520665</v>
      </c>
    </row>
    <row r="37" spans="1:7" ht="12.75">
      <c r="A37" s="11" t="s">
        <v>119</v>
      </c>
      <c r="B37" s="17">
        <v>4004881</v>
      </c>
      <c r="C37" s="17">
        <v>0</v>
      </c>
      <c r="D37" s="17">
        <v>4689065</v>
      </c>
      <c r="E37" s="17">
        <v>4689065</v>
      </c>
      <c r="F37" s="17">
        <v>4714555</v>
      </c>
      <c r="G37" s="18">
        <f>IF(AND(F70&lt;&gt;9279369,4714555&lt;&gt;0),IF(100*4714555/(F70-9279369)&lt;0.005,"*",100*4714555/(F70-9279369)),0)</f>
        <v>1.2767115984471296</v>
      </c>
    </row>
    <row r="38" spans="1:7" ht="12.75">
      <c r="A38" s="11" t="s">
        <v>120</v>
      </c>
      <c r="B38" s="17">
        <v>32796826</v>
      </c>
      <c r="C38" s="17">
        <v>0</v>
      </c>
      <c r="D38" s="17">
        <v>38358580</v>
      </c>
      <c r="E38" s="17">
        <v>38358580</v>
      </c>
      <c r="F38" s="17">
        <v>38523945</v>
      </c>
      <c r="G38" s="18">
        <f>IF(AND(F70&lt;&gt;9279369,38523945&lt;&gt;0),IF(100*38523945/(F70-9279369)&lt;0.005,"*",100*38523945/(F70-9279369)),0)</f>
        <v>10.432366872258209</v>
      </c>
    </row>
    <row r="39" spans="1:7" ht="12.75">
      <c r="A39" s="11" t="s">
        <v>121</v>
      </c>
      <c r="B39" s="17">
        <v>9228227</v>
      </c>
      <c r="C39" s="17">
        <v>0</v>
      </c>
      <c r="D39" s="17">
        <v>9699984</v>
      </c>
      <c r="E39" s="17">
        <v>9699984</v>
      </c>
      <c r="F39" s="17">
        <v>10248049</v>
      </c>
      <c r="G39" s="18">
        <f>IF(AND(F70&lt;&gt;9279369,10248049&lt;&gt;0),IF(100*10248049/(F70-9279369)&lt;0.005,"*",100*10248049/(F70-9279369)),0)</f>
        <v>2.7751936332812974</v>
      </c>
    </row>
    <row r="40" spans="1:7" ht="12.75">
      <c r="A40" s="11" t="s">
        <v>122</v>
      </c>
      <c r="B40" s="17">
        <v>328552</v>
      </c>
      <c r="C40" s="17">
        <v>0</v>
      </c>
      <c r="D40" s="17">
        <v>939767</v>
      </c>
      <c r="E40" s="17">
        <v>939767</v>
      </c>
      <c r="F40" s="17">
        <v>947413</v>
      </c>
      <c r="G40" s="18">
        <f>IF(AND(F70&lt;&gt;9279369,947413&lt;&gt;0),IF(100*947413/(F70-9279369)&lt;0.005,"*",100*947413/(F70-9279369)),0)</f>
        <v>0.25656147093831555</v>
      </c>
    </row>
    <row r="41" spans="1:7" ht="12.75">
      <c r="A41" s="11" t="s">
        <v>123</v>
      </c>
      <c r="B41" s="17">
        <v>15332585</v>
      </c>
      <c r="C41" s="17">
        <v>0</v>
      </c>
      <c r="D41" s="17">
        <v>16223349</v>
      </c>
      <c r="E41" s="17">
        <v>16223349</v>
      </c>
      <c r="F41" s="17">
        <v>17418369</v>
      </c>
      <c r="G41" s="18">
        <f>IF(AND(F70&lt;&gt;9279369,17418369&lt;&gt;0),IF(100*17418369/(F70-9279369)&lt;0.005,"*",100*17418369/(F70-9279369)),0)</f>
        <v>4.7169316570348485</v>
      </c>
    </row>
    <row r="42" spans="1:7" ht="12.75">
      <c r="A42" s="11" t="s">
        <v>124</v>
      </c>
      <c r="B42" s="17">
        <v>3145567</v>
      </c>
      <c r="C42" s="17">
        <v>0</v>
      </c>
      <c r="D42" s="17">
        <v>3382730</v>
      </c>
      <c r="E42" s="17">
        <v>3382730</v>
      </c>
      <c r="F42" s="17">
        <v>3325345</v>
      </c>
      <c r="G42" s="18">
        <f>IF(AND(F70&lt;&gt;9279369,3325345&lt;&gt;0),IF(100*3325345/(F70-9279369)&lt;0.005,"*",100*3325345/(F70-9279369)),0)</f>
        <v>0.9005105530295372</v>
      </c>
    </row>
    <row r="43" spans="1:7" ht="12.75">
      <c r="A43" s="11" t="s">
        <v>125</v>
      </c>
      <c r="B43" s="17">
        <v>6577879</v>
      </c>
      <c r="C43" s="17">
        <v>0</v>
      </c>
      <c r="D43" s="17">
        <v>7758965</v>
      </c>
      <c r="E43" s="17">
        <v>7758965</v>
      </c>
      <c r="F43" s="17">
        <v>7978100</v>
      </c>
      <c r="G43" s="18">
        <f>IF(AND(F70&lt;&gt;9279369,7978100&lt;&gt;0),IF(100*7978100/(F70-9279369)&lt;0.005,"*",100*7978100/(F70-9279369)),0)</f>
        <v>2.160486579024117</v>
      </c>
    </row>
    <row r="44" spans="1:7" ht="12.75">
      <c r="A44" s="11" t="s">
        <v>126</v>
      </c>
      <c r="B44" s="17">
        <v>13535031</v>
      </c>
      <c r="C44" s="17">
        <v>0</v>
      </c>
      <c r="D44" s="17">
        <v>18195140</v>
      </c>
      <c r="E44" s="17">
        <v>18195140</v>
      </c>
      <c r="F44" s="17">
        <v>17616263</v>
      </c>
      <c r="G44" s="18">
        <f>IF(AND(F70&lt;&gt;9279369,17616263&lt;&gt;0),IF(100*17616263/(F70-9279369)&lt;0.005,"*",100*17616263/(F70-9279369)),0)</f>
        <v>4.770521776370203</v>
      </c>
    </row>
    <row r="45" spans="1:7" ht="12.75">
      <c r="A45" s="11" t="s">
        <v>127</v>
      </c>
      <c r="B45" s="17">
        <v>1629406</v>
      </c>
      <c r="C45" s="17">
        <v>0</v>
      </c>
      <c r="D45" s="17">
        <v>1798758</v>
      </c>
      <c r="E45" s="17">
        <v>1798758</v>
      </c>
      <c r="F45" s="17">
        <v>1826297</v>
      </c>
      <c r="G45" s="18">
        <f>IF(AND(F70&lt;&gt;9279369,1826297&lt;&gt;0),IF(100*1826297/(F70-9279369)&lt;0.005,"*",100*1826297/(F70-9279369)),0)</f>
        <v>0.49456514180218436</v>
      </c>
    </row>
    <row r="46" spans="1:7" ht="12.75">
      <c r="A46" s="11" t="s">
        <v>128</v>
      </c>
      <c r="B46" s="17">
        <v>4254978</v>
      </c>
      <c r="C46" s="17">
        <v>0</v>
      </c>
      <c r="D46" s="17">
        <v>4576918</v>
      </c>
      <c r="E46" s="17">
        <v>4576918</v>
      </c>
      <c r="F46" s="17">
        <v>4928208</v>
      </c>
      <c r="G46" s="18">
        <f>IF(AND(F70&lt;&gt;9279369,4928208&lt;&gt;0),IF(100*4928208/(F70-9279369)&lt;0.005,"*",100*4928208/(F70-9279369)),0)</f>
        <v>1.334569288757885</v>
      </c>
    </row>
    <row r="47" spans="1:7" ht="12.75">
      <c r="A47" s="11" t="s">
        <v>129</v>
      </c>
      <c r="B47" s="17">
        <v>489006</v>
      </c>
      <c r="C47" s="17">
        <v>0</v>
      </c>
      <c r="D47" s="17">
        <v>500872</v>
      </c>
      <c r="E47" s="17">
        <v>500872</v>
      </c>
      <c r="F47" s="17">
        <v>543286</v>
      </c>
      <c r="G47" s="18">
        <f>IF(AND(F70&lt;&gt;9279369,543286&lt;&gt;0),IF(100*543286/(F70-9279369)&lt;0.005,"*",100*543286/(F70-9279369)),0)</f>
        <v>0.14712301319508356</v>
      </c>
    </row>
    <row r="48" spans="1:7" ht="12.75">
      <c r="A48" s="11" t="s">
        <v>130</v>
      </c>
      <c r="B48" s="17">
        <v>6167629</v>
      </c>
      <c r="C48" s="17">
        <v>0</v>
      </c>
      <c r="D48" s="17">
        <v>7097070</v>
      </c>
      <c r="E48" s="17">
        <v>7097070</v>
      </c>
      <c r="F48" s="17">
        <v>7273070</v>
      </c>
      <c r="G48" s="18">
        <f>IF(AND(F70&lt;&gt;9279369,7273070&lt;&gt;0),IF(100*7273070/(F70-9279369)&lt;0.005,"*",100*7273070/(F70-9279369)),0)</f>
        <v>1.9695629439719897</v>
      </c>
    </row>
    <row r="49" spans="1:7" ht="12.75">
      <c r="A49" s="11" t="s">
        <v>131</v>
      </c>
      <c r="B49" s="17">
        <v>21402568</v>
      </c>
      <c r="C49" s="17">
        <v>0</v>
      </c>
      <c r="D49" s="17">
        <v>23836973</v>
      </c>
      <c r="E49" s="17">
        <v>23836973</v>
      </c>
      <c r="F49" s="17">
        <v>23595640</v>
      </c>
      <c r="G49" s="18">
        <f>IF(AND(F70&lt;&gt;9279369,23595640&lt;&gt;0),IF(100*23595640/(F70-9279369)&lt;0.005,"*",100*23595640/(F70-9279369)),0)</f>
        <v>6.389749883240948</v>
      </c>
    </row>
    <row r="50" spans="1:7" ht="12.75">
      <c r="A50" s="11" t="s">
        <v>132</v>
      </c>
      <c r="B50" s="17">
        <v>1630660</v>
      </c>
      <c r="C50" s="17">
        <v>0</v>
      </c>
      <c r="D50" s="17">
        <v>1846548</v>
      </c>
      <c r="E50" s="17">
        <v>1846548</v>
      </c>
      <c r="F50" s="17">
        <v>1957450</v>
      </c>
      <c r="G50" s="18">
        <f>IF(AND(F70&lt;&gt;9279369,1957450&lt;&gt;0),IF(100*1957450/(F70-9279369)&lt;0.005,"*",100*1957450/(F70-9279369)),0)</f>
        <v>0.5300816552952152</v>
      </c>
    </row>
    <row r="51" spans="1:7" ht="12.75">
      <c r="A51" s="11" t="s">
        <v>133</v>
      </c>
      <c r="B51" s="17">
        <v>1016749</v>
      </c>
      <c r="C51" s="17">
        <v>0</v>
      </c>
      <c r="D51" s="17">
        <v>1255021</v>
      </c>
      <c r="E51" s="17">
        <v>1255021</v>
      </c>
      <c r="F51" s="17">
        <v>1224382</v>
      </c>
      <c r="G51" s="18">
        <f>IF(AND(F70&lt;&gt;9279369,1224382&lt;&gt;0),IF(100*1224382/(F70-9279369)&lt;0.005,"*",100*1224382/(F70-9279369)),0)</f>
        <v>0.331565269750781</v>
      </c>
    </row>
    <row r="52" spans="1:7" ht="12.75">
      <c r="A52" s="11" t="s">
        <v>134</v>
      </c>
      <c r="B52" s="17">
        <v>4399927</v>
      </c>
      <c r="C52" s="17">
        <v>0</v>
      </c>
      <c r="D52" s="17">
        <v>4742423</v>
      </c>
      <c r="E52" s="17">
        <v>4742423</v>
      </c>
      <c r="F52" s="17">
        <v>4905618</v>
      </c>
      <c r="G52" s="18">
        <f>IF(AND(F70&lt;&gt;9279369,4905618&lt;&gt;0),IF(100*4905618/(F70-9279369)&lt;0.005,"*",100*4905618/(F70-9279369)),0)</f>
        <v>1.3284518683419773</v>
      </c>
    </row>
    <row r="53" spans="1:7" ht="12.75">
      <c r="A53" s="11" t="s">
        <v>135</v>
      </c>
      <c r="B53" s="17">
        <v>7175800</v>
      </c>
      <c r="C53" s="17">
        <v>0</v>
      </c>
      <c r="D53" s="17">
        <v>9230698</v>
      </c>
      <c r="E53" s="17">
        <v>9230698</v>
      </c>
      <c r="F53" s="17">
        <v>9560892</v>
      </c>
      <c r="G53" s="18">
        <f>IF(AND(F70&lt;&gt;9279369,9560892&lt;&gt;0),IF(100*9560892/(F70-9279369)&lt;0.005,"*",100*9560892/(F70-9279369)),0)</f>
        <v>2.589110044935391</v>
      </c>
    </row>
    <row r="54" spans="1:7" ht="12.75">
      <c r="A54" s="11" t="s">
        <v>136</v>
      </c>
      <c r="B54" s="17">
        <v>2929204</v>
      </c>
      <c r="C54" s="17">
        <v>0</v>
      </c>
      <c r="D54" s="17">
        <v>3227817</v>
      </c>
      <c r="E54" s="17">
        <v>3227817</v>
      </c>
      <c r="F54" s="17">
        <v>2967599</v>
      </c>
      <c r="G54" s="18">
        <f>IF(AND(F70&lt;&gt;9279369,2967599&lt;&gt;0),IF(100*2967599/(F70-9279369)&lt;0.005,"*",100*2967599/(F70-9279369)),0)</f>
        <v>0.8036321694921584</v>
      </c>
    </row>
    <row r="55" spans="1:7" ht="12.75">
      <c r="A55" s="11" t="s">
        <v>137</v>
      </c>
      <c r="B55" s="17">
        <v>4850942</v>
      </c>
      <c r="C55" s="17">
        <v>0</v>
      </c>
      <c r="D55" s="17">
        <v>5252265</v>
      </c>
      <c r="E55" s="17">
        <v>5252265</v>
      </c>
      <c r="F55" s="17">
        <v>5378674</v>
      </c>
      <c r="G55" s="18">
        <f>IF(AND(F70&lt;&gt;9279369,5378674&lt;&gt;0),IF(100*5378674/(F70-9279369)&lt;0.005,"*",100*5378674/(F70-9279369)),0)</f>
        <v>1.456556447016954</v>
      </c>
    </row>
    <row r="56" spans="1:7" ht="12.75">
      <c r="A56" s="11" t="s">
        <v>138</v>
      </c>
      <c r="B56" s="17">
        <v>329118</v>
      </c>
      <c r="C56" s="17">
        <v>0</v>
      </c>
      <c r="D56" s="17">
        <v>354926</v>
      </c>
      <c r="E56" s="17">
        <v>354926</v>
      </c>
      <c r="F56" s="17">
        <v>358221</v>
      </c>
      <c r="G56" s="18">
        <f>IF(AND(F70&lt;&gt;9279369,358221&lt;&gt;0),IF(100*358221/(F70-9279369)&lt;0.005,"*",100*358221/(F70-9279369)),0)</f>
        <v>0.09700701455542023</v>
      </c>
    </row>
    <row r="57" spans="1:7" ht="12.75">
      <c r="A57" s="11" t="s">
        <v>139</v>
      </c>
      <c r="B57" s="17">
        <v>20696</v>
      </c>
      <c r="C57" s="17">
        <v>0</v>
      </c>
      <c r="D57" s="17">
        <v>16408</v>
      </c>
      <c r="E57" s="17">
        <v>16408</v>
      </c>
      <c r="F57" s="17">
        <v>16408</v>
      </c>
      <c r="G57" s="18" t="str">
        <f>IF(AND(F70&lt;&gt;9279369,16408&lt;&gt;0),IF(100*16408/(F70-9279369)&lt;0.005,"*",100*16408/(F70-9279369)),0)</f>
        <v>*</v>
      </c>
    </row>
    <row r="58" spans="1:7" ht="12.75">
      <c r="A58" s="11" t="s">
        <v>140</v>
      </c>
      <c r="B58" s="17">
        <v>48978</v>
      </c>
      <c r="C58" s="17">
        <v>0</v>
      </c>
      <c r="D58" s="17">
        <v>51042</v>
      </c>
      <c r="E58" s="17">
        <v>51042</v>
      </c>
      <c r="F58" s="17">
        <v>51042</v>
      </c>
      <c r="G58" s="18">
        <f>IF(AND(F70&lt;&gt;9279369,51042&lt;&gt;0),IF(100*51042/(F70-9279369)&lt;0.005,"*",100*51042/(F70-9279369)),0)</f>
        <v>0.013822282995518853</v>
      </c>
    </row>
    <row r="59" spans="1:7" ht="12.75">
      <c r="A59" s="11" t="s">
        <v>141</v>
      </c>
      <c r="B59" s="17">
        <v>15839</v>
      </c>
      <c r="C59" s="17">
        <v>0</v>
      </c>
      <c r="D59" s="17">
        <v>19286</v>
      </c>
      <c r="E59" s="17">
        <v>19286</v>
      </c>
      <c r="F59" s="17">
        <v>19286</v>
      </c>
      <c r="G59" s="18">
        <f>IF(AND(F70&lt;&gt;9279369,19286&lt;&gt;0),IF(100*19286/(F70-9279369)&lt;0.005,"*",100*19286/(F70-9279369)),0)</f>
        <v>0.005222690134625928</v>
      </c>
    </row>
    <row r="60" spans="1:7" ht="12.75">
      <c r="A60" s="11" t="s">
        <v>142</v>
      </c>
      <c r="B60" s="17">
        <v>1521507</v>
      </c>
      <c r="C60" s="17">
        <v>0</v>
      </c>
      <c r="D60" s="17">
        <v>1604051</v>
      </c>
      <c r="E60" s="17">
        <v>1604051</v>
      </c>
      <c r="F60" s="17">
        <v>1556290</v>
      </c>
      <c r="G60" s="18">
        <f>IF(AND(F70&lt;&gt;9279369,1556290&lt;&gt;0),IF(100*1556290/(F70-9279369)&lt;0.005,"*",100*1556290/(F70-9279369)),0)</f>
        <v>0.42144666751099163</v>
      </c>
    </row>
    <row r="61" spans="1:7" ht="12.75">
      <c r="A61" s="11" t="s">
        <v>143</v>
      </c>
      <c r="B61" s="17">
        <v>0</v>
      </c>
      <c r="C61" s="17">
        <v>0</v>
      </c>
      <c r="D61" s="17">
        <v>0</v>
      </c>
      <c r="E61" s="17">
        <v>0</v>
      </c>
      <c r="F61" s="17">
        <v>0</v>
      </c>
      <c r="G61" s="18">
        <f>IF(AND(F70&lt;&gt;9279369,0&lt;&gt;0),IF(100*0/(F70-9279369)&lt;0.005,"*",100*0/(F70-9279369)),0)</f>
        <v>0</v>
      </c>
    </row>
    <row r="62" spans="1:7" ht="12.75">
      <c r="A62" s="11" t="s">
        <v>144</v>
      </c>
      <c r="B62" s="17">
        <v>27701</v>
      </c>
      <c r="C62" s="17">
        <v>0</v>
      </c>
      <c r="D62" s="17">
        <v>39548</v>
      </c>
      <c r="E62" s="17">
        <v>39548</v>
      </c>
      <c r="F62" s="17">
        <v>34872</v>
      </c>
      <c r="G62" s="18">
        <f>IF(AND(F70&lt;&gt;9279369,34872&lt;&gt;0),IF(100*34872/(F70-9279369)&lt;0.005,"*",100*34872/(F70-9279369)),0)</f>
        <v>0.009443412339244808</v>
      </c>
    </row>
    <row r="63" spans="1:7" ht="12.75">
      <c r="A63" s="11" t="s">
        <v>145</v>
      </c>
      <c r="B63" s="17">
        <v>0</v>
      </c>
      <c r="C63" s="17">
        <v>0</v>
      </c>
      <c r="D63" s="17">
        <v>0</v>
      </c>
      <c r="E63" s="17">
        <v>0</v>
      </c>
      <c r="F63" s="17">
        <v>0</v>
      </c>
      <c r="G63" s="18">
        <f>IF(AND(F70&lt;&gt;9279369,0&lt;&gt;0),IF(100*0/(F70-9279369)&lt;0.005,"*",100*0/(F70-9279369)),0)</f>
        <v>0</v>
      </c>
    </row>
    <row r="64" spans="1:7" ht="15">
      <c r="A64" s="11" t="s">
        <v>146</v>
      </c>
      <c r="B64" s="23" t="s">
        <v>175</v>
      </c>
      <c r="C64" s="17">
        <v>0</v>
      </c>
      <c r="D64" s="23" t="s">
        <v>470</v>
      </c>
      <c r="E64" s="25">
        <v>-16399946</v>
      </c>
      <c r="F64" s="23" t="s">
        <v>471</v>
      </c>
      <c r="G64" s="18">
        <v>0</v>
      </c>
    </row>
    <row r="65" spans="1:7" ht="12.75">
      <c r="A65" s="11" t="s">
        <v>176</v>
      </c>
      <c r="B65" s="17">
        <v>244868</v>
      </c>
      <c r="C65" s="17">
        <v>0</v>
      </c>
      <c r="D65" s="17">
        <v>285000</v>
      </c>
      <c r="E65" s="17">
        <v>285000</v>
      </c>
      <c r="F65" s="17">
        <v>291000</v>
      </c>
      <c r="G65" s="18">
        <f>IF(AND(F70&lt;&gt;9279369,291000&lt;&gt;0),IF(100*291000/(F70-9279369)&lt;0.005,"*",100*291000/(F70-9279369)),0)</f>
        <v>0.07880342368433811</v>
      </c>
    </row>
    <row r="66" spans="1:7" ht="12.75">
      <c r="A66" s="11" t="s">
        <v>177</v>
      </c>
      <c r="B66" s="17">
        <v>108590</v>
      </c>
      <c r="C66" s="17">
        <v>0</v>
      </c>
      <c r="D66" s="17">
        <v>243715</v>
      </c>
      <c r="E66" s="17">
        <v>243715</v>
      </c>
      <c r="F66" s="17">
        <v>256194</v>
      </c>
      <c r="G66" s="18">
        <f>IF(AND(F70&lt;&gt;9279369,256194&lt;&gt;0),IF(100*256194/(F70-9279369)&lt;0.005,"*",100*256194/(F70-9279369)),0)</f>
        <v>0.0693778842865475</v>
      </c>
    </row>
    <row r="67" spans="1:7" ht="12.75">
      <c r="A67" s="11" t="s">
        <v>178</v>
      </c>
      <c r="B67" s="17">
        <v>3845486</v>
      </c>
      <c r="C67" s="17">
        <v>0</v>
      </c>
      <c r="D67" s="17">
        <v>4160726</v>
      </c>
      <c r="E67" s="17">
        <v>4160726</v>
      </c>
      <c r="F67" s="17">
        <v>4386584</v>
      </c>
      <c r="G67" s="18">
        <f>IF(AND(F70&lt;&gt;9279369,4386584&lt;&gt;0),IF(100*4386584/(F70-9279369)&lt;0.005,"*",100*4386584/(F70-9279369)),0)</f>
        <v>1.187896348724875</v>
      </c>
    </row>
    <row r="68" spans="1:7" ht="12.75">
      <c r="A68" s="11" t="s">
        <v>179</v>
      </c>
      <c r="B68" s="17">
        <v>748626</v>
      </c>
      <c r="C68" s="17">
        <v>0</v>
      </c>
      <c r="D68" s="17">
        <v>869000</v>
      </c>
      <c r="E68" s="17">
        <v>869000</v>
      </c>
      <c r="F68" s="17">
        <v>954000</v>
      </c>
      <c r="G68" s="18">
        <f>IF(AND(F70&lt;&gt;9279369,954000&lt;&gt;0),IF(100*954000/(F70-9279369)&lt;0.005,"*",100*954000/(F70-9279369)),0)</f>
        <v>0.25834524465587133</v>
      </c>
    </row>
    <row r="69" spans="1:7" ht="12.75">
      <c r="A69" s="11" t="s">
        <v>180</v>
      </c>
      <c r="B69" s="17">
        <v>0</v>
      </c>
      <c r="C69" s="17">
        <v>0</v>
      </c>
      <c r="D69" s="17">
        <v>1520000</v>
      </c>
      <c r="E69" s="17">
        <v>1520000</v>
      </c>
      <c r="F69" s="17">
        <v>996000</v>
      </c>
      <c r="G69" s="18">
        <f>IF(AND(F70&lt;&gt;9279369,996000&lt;&gt;0),IF(100*996000/(F70-9279369)&lt;0.005,"*",100*996000/(F70-9279369)),0)</f>
        <v>0.26971893467216757</v>
      </c>
    </row>
    <row r="70" spans="1:7" ht="15" customHeight="1">
      <c r="A70" s="19" t="s">
        <v>87</v>
      </c>
      <c r="B70" s="20">
        <f>3815045+713184+8096247+4566258+56718405+4654380+4489582+1235491+1852865+13242517+6923753+1350700+1305845+10784849+6651152+2999271+1834014+7678885+5115715+1647792+5937288+9117269+12017163+6630652+3923916+6317848+821101+1077254+2454119+1102460+9086088+4004881+32796826+9228227+328552+15332585+3145567+6577879+13535031+1629406+4254978+489006+6167629+21402568+1630660+1016749+4399927+7175800+2929204+4850942+329118+20696+48978+15839+1521507+0+27701+0+26927733+244868+108590+3845486+748626+0+0</f>
        <v>378896667</v>
      </c>
      <c r="C70" s="20">
        <f>0+0+0+0+0+0+0+0+0+0+0+0+0+0+0+0+0+0+0+0+0+0+0+0+0+0+0+0+0+0+0+0+0+0+0+0+0+0+0+0+0+0+0+0+0+0+0+0+0+0+0+0+0+0+0+0+0+0+0+0+0+0+0+0+0</f>
        <v>0</v>
      </c>
      <c r="D70" s="20">
        <v>369621218</v>
      </c>
      <c r="E70" s="20">
        <v>369621218</v>
      </c>
      <c r="F70" s="20">
        <v>378552665</v>
      </c>
      <c r="G70" s="21" t="s">
        <v>181</v>
      </c>
    </row>
    <row r="71" spans="1:7" ht="15" customHeight="1">
      <c r="A71" s="33" t="s">
        <v>148</v>
      </c>
      <c r="B71" s="33"/>
      <c r="C71" s="33"/>
      <c r="D71" s="33"/>
      <c r="E71" s="33"/>
      <c r="F71" s="33"/>
      <c r="G71" s="33"/>
    </row>
    <row r="72" spans="1:7" ht="15" customHeight="1">
      <c r="A72" s="26" t="s">
        <v>472</v>
      </c>
      <c r="B72" s="26"/>
      <c r="C72" s="26"/>
      <c r="D72" s="26"/>
      <c r="E72" s="26"/>
      <c r="F72" s="26"/>
      <c r="G72" s="26"/>
    </row>
    <row r="73" spans="1:7" ht="15" customHeight="1">
      <c r="A73" s="26" t="s">
        <v>182</v>
      </c>
      <c r="B73" s="26"/>
      <c r="C73" s="26"/>
      <c r="D73" s="26"/>
      <c r="E73" s="26"/>
      <c r="F73" s="26"/>
      <c r="G73" s="26"/>
    </row>
  </sheetData>
  <sheetProtection/>
  <mergeCells count="7">
    <mergeCell ref="A73:G73"/>
    <mergeCell ref="A4:A5"/>
    <mergeCell ref="B4:B5"/>
    <mergeCell ref="F4:F5"/>
    <mergeCell ref="G4:G5"/>
    <mergeCell ref="A71:G71"/>
    <mergeCell ref="A72:G72"/>
  </mergeCells>
  <printOptions/>
  <pageMargins left="0.7" right="0.7" top="0.75" bottom="0.75" header="0.3" footer="0.3"/>
  <pageSetup fitToHeight="1" fitToWidth="1"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G73"/>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183</v>
      </c>
      <c r="B1" s="10"/>
      <c r="C1" s="10"/>
      <c r="D1" s="10"/>
      <c r="E1" s="10"/>
      <c r="F1" s="10"/>
      <c r="G1" s="12" t="s">
        <v>184</v>
      </c>
    </row>
    <row r="2" spans="1:7" ht="12.75">
      <c r="A2" s="13" t="s">
        <v>185</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93315</v>
      </c>
      <c r="C6" s="17">
        <v>0</v>
      </c>
      <c r="D6" s="17">
        <v>93315</v>
      </c>
      <c r="E6" s="17">
        <v>93315</v>
      </c>
      <c r="F6" s="17">
        <v>93315</v>
      </c>
      <c r="G6" s="18">
        <f>IF(AND(F71&lt;&gt;0,93315&lt;&gt;0),IF(100*93315/(F71-0)&lt;0.005,"*",100*93315/(F71-0)),0)</f>
        <v>0.539025062138213</v>
      </c>
    </row>
    <row r="7" spans="1:7" ht="12.75">
      <c r="A7" s="11" t="s">
        <v>89</v>
      </c>
      <c r="B7" s="17">
        <v>44607</v>
      </c>
      <c r="C7" s="17">
        <v>0</v>
      </c>
      <c r="D7" s="17">
        <v>44607</v>
      </c>
      <c r="E7" s="17">
        <v>44607</v>
      </c>
      <c r="F7" s="17">
        <v>44607</v>
      </c>
      <c r="G7" s="18">
        <f>IF(AND(F71&lt;&gt;0,44607&lt;&gt;0),IF(100*44607/(F71-0)&lt;0.005,"*",100*44607/(F71-0)),0)</f>
        <v>0.2576680163617775</v>
      </c>
    </row>
    <row r="8" spans="1:7" ht="12.75">
      <c r="A8" s="11" t="s">
        <v>90</v>
      </c>
      <c r="B8" s="17">
        <v>200141</v>
      </c>
      <c r="C8" s="17">
        <v>0</v>
      </c>
      <c r="D8" s="17">
        <v>200141</v>
      </c>
      <c r="E8" s="17">
        <v>200141</v>
      </c>
      <c r="F8" s="17">
        <v>200141</v>
      </c>
      <c r="G8" s="18">
        <f>IF(AND(F71&lt;&gt;0,200141&lt;&gt;0),IF(100*200141/(F71-0)&lt;0.005,"*",100*200141/(F71-0)),0)</f>
        <v>1.1560951075540278</v>
      </c>
    </row>
    <row r="9" spans="1:7" ht="12.75">
      <c r="A9" s="11" t="s">
        <v>91</v>
      </c>
      <c r="B9" s="17">
        <v>56733</v>
      </c>
      <c r="C9" s="17">
        <v>0</v>
      </c>
      <c r="D9" s="17">
        <v>56733</v>
      </c>
      <c r="E9" s="17">
        <v>56733</v>
      </c>
      <c r="F9" s="17">
        <v>56733</v>
      </c>
      <c r="G9" s="18">
        <f>IF(AND(F71&lt;&gt;0,56733&lt;&gt;0),IF(100*56733/(F71-0)&lt;0.005,"*",100*56733/(F71-0)),0)</f>
        <v>0.32771268124403624</v>
      </c>
    </row>
    <row r="10" spans="1:7" ht="12.75">
      <c r="A10" s="11" t="s">
        <v>92</v>
      </c>
      <c r="B10" s="17">
        <v>3653771</v>
      </c>
      <c r="C10" s="17">
        <v>0</v>
      </c>
      <c r="D10" s="17">
        <v>3652186</v>
      </c>
      <c r="E10" s="17">
        <v>3652186</v>
      </c>
      <c r="F10" s="17">
        <v>3652186</v>
      </c>
      <c r="G10" s="18">
        <f>IF(AND(F71&lt;&gt;0,3652186&lt;&gt;0),IF(100*3652186/(F71-0)&lt;0.005,"*",100*3652186/(F71-0)),0)</f>
        <v>21.096498800732054</v>
      </c>
    </row>
    <row r="11" spans="1:7" ht="12.75">
      <c r="A11" s="11" t="s">
        <v>93</v>
      </c>
      <c r="B11" s="17">
        <v>136057</v>
      </c>
      <c r="C11" s="17">
        <v>0</v>
      </c>
      <c r="D11" s="17">
        <v>136057</v>
      </c>
      <c r="E11" s="17">
        <v>136057</v>
      </c>
      <c r="F11" s="17">
        <v>136057</v>
      </c>
      <c r="G11" s="18">
        <f>IF(AND(F71&lt;&gt;0,136057&lt;&gt;0),IF(100*136057/(F71-0)&lt;0.005,"*",100*136057/(F71-0)),0)</f>
        <v>0.7859200865813519</v>
      </c>
    </row>
    <row r="12" spans="1:7" ht="12.75">
      <c r="A12" s="11" t="s">
        <v>94</v>
      </c>
      <c r="B12" s="17">
        <v>266788</v>
      </c>
      <c r="C12" s="17">
        <v>0</v>
      </c>
      <c r="D12" s="17">
        <v>266788</v>
      </c>
      <c r="E12" s="17">
        <v>266788</v>
      </c>
      <c r="F12" s="17">
        <v>266788</v>
      </c>
      <c r="G12" s="18">
        <f>IF(AND(F71&lt;&gt;0,266788&lt;&gt;0),IF(100*266788/(F71-0)&lt;0.005,"*",100*266788/(F71-0)),0)</f>
        <v>1.5410750498604682</v>
      </c>
    </row>
    <row r="13" spans="1:7" ht="12.75">
      <c r="A13" s="11" t="s">
        <v>95</v>
      </c>
      <c r="B13" s="17">
        <v>32291</v>
      </c>
      <c r="C13" s="17">
        <v>0</v>
      </c>
      <c r="D13" s="17">
        <v>32291</v>
      </c>
      <c r="E13" s="17">
        <v>32291</v>
      </c>
      <c r="F13" s="17">
        <v>32291</v>
      </c>
      <c r="G13" s="18">
        <f>IF(AND(F71&lt;&gt;0,32291&lt;&gt;0),IF(100*32291/(F71-0)&lt;0.005,"*",100*32291/(F71-0)),0)</f>
        <v>0.18652583487654759</v>
      </c>
    </row>
    <row r="14" spans="1:7" ht="12.75">
      <c r="A14" s="11" t="s">
        <v>96</v>
      </c>
      <c r="B14" s="17">
        <v>92610</v>
      </c>
      <c r="C14" s="17">
        <v>0</v>
      </c>
      <c r="D14" s="17">
        <v>92610</v>
      </c>
      <c r="E14" s="17">
        <v>92610</v>
      </c>
      <c r="F14" s="17">
        <v>92610</v>
      </c>
      <c r="G14" s="18">
        <f>IF(AND(F71&lt;&gt;0,92610&lt;&gt;0),IF(100*92610/(F71-0)&lt;0.005,"*",100*92610/(F71-0)),0)</f>
        <v>0.5349526979008724</v>
      </c>
    </row>
    <row r="15" spans="1:7" ht="12.75">
      <c r="A15" s="11" t="s">
        <v>97</v>
      </c>
      <c r="B15" s="17">
        <v>562340</v>
      </c>
      <c r="C15" s="17">
        <v>0</v>
      </c>
      <c r="D15" s="17">
        <v>562340</v>
      </c>
      <c r="E15" s="17">
        <v>562340</v>
      </c>
      <c r="F15" s="17">
        <v>562340</v>
      </c>
      <c r="G15" s="18">
        <f>IF(AND(F71&lt;&gt;0,562340&lt;&gt;0),IF(100*562340/(F71-0)&lt;0.005,"*",100*562340/(F71-0)),0)</f>
        <v>3.248302560604434</v>
      </c>
    </row>
    <row r="16" spans="1:7" ht="12.75">
      <c r="A16" s="11" t="s">
        <v>98</v>
      </c>
      <c r="B16" s="17">
        <v>330742</v>
      </c>
      <c r="C16" s="17">
        <v>0</v>
      </c>
      <c r="D16" s="17">
        <v>330742</v>
      </c>
      <c r="E16" s="17">
        <v>330742</v>
      </c>
      <c r="F16" s="17">
        <v>330742</v>
      </c>
      <c r="G16" s="18">
        <f>IF(AND(F71&lt;&gt;0,330742&lt;&gt;0),IF(100*330742/(F71-0)&lt;0.005,"*",100*330742/(F71-0)),0)</f>
        <v>1.9104991384205847</v>
      </c>
    </row>
    <row r="17" spans="1:7" ht="12.75">
      <c r="A17" s="11" t="s">
        <v>99</v>
      </c>
      <c r="B17" s="17">
        <v>98905</v>
      </c>
      <c r="C17" s="17">
        <v>0</v>
      </c>
      <c r="D17" s="17">
        <v>98905</v>
      </c>
      <c r="E17" s="17">
        <v>98905</v>
      </c>
      <c r="F17" s="17">
        <v>98905</v>
      </c>
      <c r="G17" s="18">
        <f>IF(AND(F71&lt;&gt;0,98905&lt;&gt;0),IF(100*98905/(F71-0)&lt;0.005,"*",100*98905/(F71-0)),0)</f>
        <v>0.5713151558782614</v>
      </c>
    </row>
    <row r="18" spans="1:7" ht="12.75">
      <c r="A18" s="11" t="s">
        <v>100</v>
      </c>
      <c r="B18" s="17">
        <v>30413</v>
      </c>
      <c r="C18" s="17">
        <v>0</v>
      </c>
      <c r="D18" s="17">
        <v>30413</v>
      </c>
      <c r="E18" s="17">
        <v>30413</v>
      </c>
      <c r="F18" s="17">
        <v>30413</v>
      </c>
      <c r="G18" s="18">
        <f>IF(AND(F71&lt;&gt;0,30413&lt;&gt;0),IF(100*30413/(F71-0)&lt;0.005,"*",100*30413/(F71-0)),0)</f>
        <v>0.17567774971665298</v>
      </c>
    </row>
    <row r="19" spans="1:7" ht="12.75">
      <c r="A19" s="11" t="s">
        <v>101</v>
      </c>
      <c r="B19" s="17">
        <v>585057</v>
      </c>
      <c r="C19" s="17">
        <v>0</v>
      </c>
      <c r="D19" s="17">
        <v>585057</v>
      </c>
      <c r="E19" s="17">
        <v>585057</v>
      </c>
      <c r="F19" s="17">
        <v>585057</v>
      </c>
      <c r="G19" s="18">
        <f>IF(AND(F71&lt;&gt;0,585057&lt;&gt;0),IF(100*585057/(F71-0)&lt;0.005,"*",100*585057/(F71-0)),0)</f>
        <v>3.379525111497578</v>
      </c>
    </row>
    <row r="20" spans="1:7" ht="12.75">
      <c r="A20" s="11" t="s">
        <v>102</v>
      </c>
      <c r="B20" s="17">
        <v>206799</v>
      </c>
      <c r="C20" s="17">
        <v>0</v>
      </c>
      <c r="D20" s="17">
        <v>206799</v>
      </c>
      <c r="E20" s="17">
        <v>206799</v>
      </c>
      <c r="F20" s="17">
        <v>206799</v>
      </c>
      <c r="G20" s="18">
        <f>IF(AND(F71&lt;&gt;0,206799&lt;&gt;0),IF(100*206799/(F71-0)&lt;0.005,"*",100*206799/(F71-0)),0)</f>
        <v>1.1945543998834092</v>
      </c>
    </row>
    <row r="21" spans="1:7" ht="12.75">
      <c r="A21" s="11" t="s">
        <v>103</v>
      </c>
      <c r="B21" s="17">
        <v>131029</v>
      </c>
      <c r="C21" s="17">
        <v>0</v>
      </c>
      <c r="D21" s="17">
        <v>131029</v>
      </c>
      <c r="E21" s="17">
        <v>131029</v>
      </c>
      <c r="F21" s="17">
        <v>131029</v>
      </c>
      <c r="G21" s="18">
        <f>IF(AND(F71&lt;&gt;0,131029&lt;&gt;0),IF(100*131029/(F71-0)&lt;0.005,"*",100*131029/(F71-0)),0)</f>
        <v>0.756876331424829</v>
      </c>
    </row>
    <row r="22" spans="1:7" ht="12.75">
      <c r="A22" s="11" t="s">
        <v>104</v>
      </c>
      <c r="B22" s="17">
        <v>101931</v>
      </c>
      <c r="C22" s="17">
        <v>0</v>
      </c>
      <c r="D22" s="17">
        <v>101931</v>
      </c>
      <c r="E22" s="17">
        <v>101931</v>
      </c>
      <c r="F22" s="17">
        <v>101931</v>
      </c>
      <c r="G22" s="18">
        <f>IF(AND(F71&lt;&gt;0,101931&lt;&gt;0),IF(100*101931/(F71-0)&lt;0.005,"*",100*101931/(F71-0)),0)</f>
        <v>0.5887945518813716</v>
      </c>
    </row>
    <row r="23" spans="1:7" ht="12.75">
      <c r="A23" s="11" t="s">
        <v>105</v>
      </c>
      <c r="B23" s="17">
        <v>181288</v>
      </c>
      <c r="C23" s="17">
        <v>0</v>
      </c>
      <c r="D23" s="17">
        <v>181288</v>
      </c>
      <c r="E23" s="17">
        <v>181288</v>
      </c>
      <c r="F23" s="17">
        <v>181288</v>
      </c>
      <c r="G23" s="18">
        <f>IF(AND(F71&lt;&gt;0,181288&lt;&gt;0),IF(100*181288/(F71-0)&lt;0.005,"*",100*181288/(F71-0)),0)</f>
        <v>1.047192578523414</v>
      </c>
    </row>
    <row r="24" spans="1:7" ht="12.75">
      <c r="A24" s="11" t="s">
        <v>106</v>
      </c>
      <c r="B24" s="17">
        <v>163972</v>
      </c>
      <c r="C24" s="17">
        <v>0</v>
      </c>
      <c r="D24" s="17">
        <v>163972</v>
      </c>
      <c r="E24" s="17">
        <v>163972</v>
      </c>
      <c r="F24" s="17">
        <v>163972</v>
      </c>
      <c r="G24" s="18">
        <f>IF(AND(F71&lt;&gt;0,163972&lt;&gt;0),IF(100*163972/(F71-0)&lt;0.005,"*",100*163972/(F71-0)),0)</f>
        <v>0.9471683811705199</v>
      </c>
    </row>
    <row r="25" spans="1:7" ht="12.75">
      <c r="A25" s="11" t="s">
        <v>107</v>
      </c>
      <c r="B25" s="17">
        <v>78121</v>
      </c>
      <c r="C25" s="17">
        <v>0</v>
      </c>
      <c r="D25" s="17">
        <v>78121</v>
      </c>
      <c r="E25" s="17">
        <v>78121</v>
      </c>
      <c r="F25" s="17">
        <v>78121</v>
      </c>
      <c r="G25" s="18">
        <f>IF(AND(F71&lt;&gt;0,78121&lt;&gt;0),IF(100*78121/(F71-0)&lt;0.005,"*",100*78121/(F71-0)),0)</f>
        <v>0.4512583923195557</v>
      </c>
    </row>
    <row r="26" spans="1:7" ht="12.75">
      <c r="A26" s="11" t="s">
        <v>108</v>
      </c>
      <c r="B26" s="17">
        <v>229098</v>
      </c>
      <c r="C26" s="17">
        <v>0</v>
      </c>
      <c r="D26" s="17">
        <v>229098</v>
      </c>
      <c r="E26" s="17">
        <v>229098</v>
      </c>
      <c r="F26" s="17">
        <v>229098</v>
      </c>
      <c r="G26" s="18">
        <f>IF(AND(F71&lt;&gt;0,229098&lt;&gt;0),IF(100*229098/(F71-0)&lt;0.005,"*",100*229098/(F71-0)),0)</f>
        <v>1.3233624142500169</v>
      </c>
    </row>
    <row r="27" spans="1:7" ht="12.75">
      <c r="A27" s="11" t="s">
        <v>109</v>
      </c>
      <c r="B27" s="17">
        <v>459371</v>
      </c>
      <c r="C27" s="17">
        <v>0</v>
      </c>
      <c r="D27" s="17">
        <v>459371</v>
      </c>
      <c r="E27" s="17">
        <v>459371</v>
      </c>
      <c r="F27" s="17">
        <v>459371</v>
      </c>
      <c r="G27" s="18">
        <f>IF(AND(F71&lt;&gt;0,459371&lt;&gt;0),IF(100*459371/(F71-0)&lt;0.005,"*",100*459371/(F71-0)),0)</f>
        <v>2.6535121022289347</v>
      </c>
    </row>
    <row r="28" spans="1:7" ht="12.75">
      <c r="A28" s="11" t="s">
        <v>110</v>
      </c>
      <c r="B28" s="17">
        <v>775353</v>
      </c>
      <c r="C28" s="17">
        <v>0</v>
      </c>
      <c r="D28" s="17">
        <v>775352</v>
      </c>
      <c r="E28" s="17">
        <v>775352</v>
      </c>
      <c r="F28" s="17">
        <v>775352</v>
      </c>
      <c r="G28" s="18">
        <f>IF(AND(F71&lt;&gt;0,775352&lt;&gt;0),IF(100*775352/(F71-0)&lt;0.005,"*",100*775352/(F71-0)),0)</f>
        <v>4.478745753405002</v>
      </c>
    </row>
    <row r="29" spans="1:7" ht="12.75">
      <c r="A29" s="11" t="s">
        <v>111</v>
      </c>
      <c r="B29" s="17">
        <v>261970</v>
      </c>
      <c r="C29" s="17">
        <v>0</v>
      </c>
      <c r="D29" s="17">
        <v>261482</v>
      </c>
      <c r="E29" s="17">
        <v>261482</v>
      </c>
      <c r="F29" s="17">
        <v>261482</v>
      </c>
      <c r="G29" s="18">
        <f>IF(AND(F71&lt;&gt;0,261482&lt;&gt;0),IF(100*261482/(F71-0)&lt;0.005,"*",100*261482/(F71-0)),0)</f>
        <v>1.510425454621703</v>
      </c>
    </row>
    <row r="30" spans="1:7" ht="12.75">
      <c r="A30" s="11" t="s">
        <v>112</v>
      </c>
      <c r="B30" s="17">
        <v>86768</v>
      </c>
      <c r="C30" s="17">
        <v>0</v>
      </c>
      <c r="D30" s="17">
        <v>86768</v>
      </c>
      <c r="E30" s="17">
        <v>86768</v>
      </c>
      <c r="F30" s="17">
        <v>86768</v>
      </c>
      <c r="G30" s="18">
        <f>IF(AND(F71&lt;&gt;0,86768&lt;&gt;0),IF(100*86768/(F71-0)&lt;0.005,"*",100*86768/(F71-0)),0)</f>
        <v>0.5012069505610938</v>
      </c>
    </row>
    <row r="31" spans="1:7" ht="12.75">
      <c r="A31" s="11" t="s">
        <v>113</v>
      </c>
      <c r="B31" s="17">
        <v>217052</v>
      </c>
      <c r="C31" s="17">
        <v>0</v>
      </c>
      <c r="D31" s="17">
        <v>217052</v>
      </c>
      <c r="E31" s="17">
        <v>217052</v>
      </c>
      <c r="F31" s="17">
        <v>217052</v>
      </c>
      <c r="G31" s="18">
        <f>IF(AND(F71&lt;&gt;0,217052&lt;&gt;0),IF(100*217052/(F71-0)&lt;0.005,"*",100*217052/(F71-0)),0)</f>
        <v>1.253779861621641</v>
      </c>
    </row>
    <row r="32" spans="1:7" ht="12.75">
      <c r="A32" s="11" t="s">
        <v>114</v>
      </c>
      <c r="B32" s="17">
        <v>38039</v>
      </c>
      <c r="C32" s="17">
        <v>0</v>
      </c>
      <c r="D32" s="17">
        <v>38039</v>
      </c>
      <c r="E32" s="17">
        <v>38039</v>
      </c>
      <c r="F32" s="17">
        <v>38039</v>
      </c>
      <c r="G32" s="18">
        <f>IF(AND(F71&lt;&gt;0,38039&lt;&gt;0),IF(100*38039/(F71-0)&lt;0.005,"*",100*38039/(F71-0)),0)</f>
        <v>0.2197286003180141</v>
      </c>
    </row>
    <row r="33" spans="1:7" ht="12.75">
      <c r="A33" s="11" t="s">
        <v>115</v>
      </c>
      <c r="B33" s="17">
        <v>56834</v>
      </c>
      <c r="C33" s="17">
        <v>0</v>
      </c>
      <c r="D33" s="17">
        <v>56834</v>
      </c>
      <c r="E33" s="17">
        <v>56834</v>
      </c>
      <c r="F33" s="17">
        <v>56834</v>
      </c>
      <c r="G33" s="18">
        <f>IF(AND(F71&lt;&gt;0,56834&lt;&gt;0),IF(100*56834/(F71-0)&lt;0.005,"*",100*56834/(F71-0)),0)</f>
        <v>0.32829609796456305</v>
      </c>
    </row>
    <row r="34" spans="1:7" ht="12.75">
      <c r="A34" s="11" t="s">
        <v>116</v>
      </c>
      <c r="B34" s="17">
        <v>43908</v>
      </c>
      <c r="C34" s="17">
        <v>0</v>
      </c>
      <c r="D34" s="17">
        <v>43908</v>
      </c>
      <c r="E34" s="17">
        <v>43908</v>
      </c>
      <c r="F34" s="17">
        <v>43908</v>
      </c>
      <c r="G34" s="18">
        <f>IF(AND(F71&lt;&gt;0,43908&lt;&gt;0),IF(100*43908/(F71-0)&lt;0.005,"*",100*43908/(F71-0)),0)</f>
        <v>0.25363031054347807</v>
      </c>
    </row>
    <row r="35" spans="1:7" ht="12.75">
      <c r="A35" s="11" t="s">
        <v>117</v>
      </c>
      <c r="B35" s="17">
        <v>38521</v>
      </c>
      <c r="C35" s="17">
        <v>0</v>
      </c>
      <c r="D35" s="17">
        <v>38521</v>
      </c>
      <c r="E35" s="17">
        <v>38521</v>
      </c>
      <c r="F35" s="17">
        <v>38521</v>
      </c>
      <c r="G35" s="18">
        <f>IF(AND(F71&lt;&gt;0,38521&lt;&gt;0),IF(100*38521/(F71-0)&lt;0.005,"*",100*38521/(F71-0)),0)</f>
        <v>0.2225128266476569</v>
      </c>
    </row>
    <row r="36" spans="1:7" ht="12.75">
      <c r="A36" s="11" t="s">
        <v>118</v>
      </c>
      <c r="B36" s="17">
        <v>404035</v>
      </c>
      <c r="C36" s="17">
        <v>0</v>
      </c>
      <c r="D36" s="17">
        <v>404035</v>
      </c>
      <c r="E36" s="17">
        <v>404035</v>
      </c>
      <c r="F36" s="17">
        <v>404035</v>
      </c>
      <c r="G36" s="18">
        <f>IF(AND(F71&lt;&gt;0,404035&lt;&gt;0),IF(100*404035/(F71-0)&lt;0.005,"*",100*404035/(F71-0)),0)</f>
        <v>2.333869056218324</v>
      </c>
    </row>
    <row r="37" spans="1:7" ht="12.75">
      <c r="A37" s="11" t="s">
        <v>119</v>
      </c>
      <c r="B37" s="17">
        <v>110578</v>
      </c>
      <c r="C37" s="17">
        <v>0</v>
      </c>
      <c r="D37" s="17">
        <v>110397</v>
      </c>
      <c r="E37" s="17">
        <v>110397</v>
      </c>
      <c r="F37" s="17">
        <v>110397</v>
      </c>
      <c r="G37" s="18">
        <f>IF(AND(F71&lt;&gt;0,110397&lt;&gt;0),IF(100*110397/(F71-0)&lt;0.005,"*",100*110397/(F71-0)),0)</f>
        <v>0.6376975811485003</v>
      </c>
    </row>
    <row r="38" spans="1:7" ht="12.75">
      <c r="A38" s="11" t="s">
        <v>120</v>
      </c>
      <c r="B38" s="17">
        <v>2442930</v>
      </c>
      <c r="C38" s="17">
        <v>0</v>
      </c>
      <c r="D38" s="17">
        <v>2442930</v>
      </c>
      <c r="E38" s="17">
        <v>2442930</v>
      </c>
      <c r="F38" s="17">
        <v>2442930</v>
      </c>
      <c r="G38" s="18">
        <f>IF(AND(F71&lt;&gt;0,2442930&lt;&gt;0),IF(100*2442930/(F71-0)&lt;0.005,"*",100*2442930/(F71-0)),0)</f>
        <v>14.111348604718478</v>
      </c>
    </row>
    <row r="39" spans="1:7" ht="12.75">
      <c r="A39" s="11" t="s">
        <v>121</v>
      </c>
      <c r="B39" s="17">
        <v>301435</v>
      </c>
      <c r="C39" s="17">
        <v>0</v>
      </c>
      <c r="D39" s="17">
        <v>301435</v>
      </c>
      <c r="E39" s="17">
        <v>301435</v>
      </c>
      <c r="F39" s="17">
        <v>301435</v>
      </c>
      <c r="G39" s="18">
        <f>IF(AND(F71&lt;&gt;0,301435&lt;&gt;0),IF(100*301435/(F71-0)&lt;0.005,"*",100*301435/(F71-0)),0)</f>
        <v>1.741210090613859</v>
      </c>
    </row>
    <row r="40" spans="1:7" ht="12.75">
      <c r="A40" s="11" t="s">
        <v>122</v>
      </c>
      <c r="B40" s="17">
        <v>26400</v>
      </c>
      <c r="C40" s="17">
        <v>0</v>
      </c>
      <c r="D40" s="17">
        <v>26400</v>
      </c>
      <c r="E40" s="17">
        <v>26400</v>
      </c>
      <c r="F40" s="17">
        <v>26400</v>
      </c>
      <c r="G40" s="18">
        <f>IF(AND(F71&lt;&gt;0,26400&lt;&gt;0),IF(100*26400/(F71-0)&lt;0.005,"*",100*26400/(F71-0)),0)</f>
        <v>0.15249704378126586</v>
      </c>
    </row>
    <row r="41" spans="1:7" ht="12.75">
      <c r="A41" s="11" t="s">
        <v>123</v>
      </c>
      <c r="B41" s="17">
        <v>727967</v>
      </c>
      <c r="C41" s="17">
        <v>0</v>
      </c>
      <c r="D41" s="17">
        <v>727967</v>
      </c>
      <c r="E41" s="17">
        <v>727967</v>
      </c>
      <c r="F41" s="17">
        <v>727967</v>
      </c>
      <c r="G41" s="18">
        <f>IF(AND(F71&lt;&gt;0,727967&lt;&gt;0),IF(100*727967/(F71-0)&lt;0.005,"*",100*727967/(F71-0)),0)</f>
        <v>4.20503088902715</v>
      </c>
    </row>
    <row r="42" spans="1:7" ht="12.75">
      <c r="A42" s="11" t="s">
        <v>124</v>
      </c>
      <c r="B42" s="17">
        <v>145281</v>
      </c>
      <c r="C42" s="17">
        <v>0</v>
      </c>
      <c r="D42" s="17">
        <v>145281</v>
      </c>
      <c r="E42" s="17">
        <v>145281</v>
      </c>
      <c r="F42" s="17">
        <v>145281</v>
      </c>
      <c r="G42" s="18">
        <f>IF(AND(F71&lt;&gt;0,145281&lt;&gt;0),IF(100*145281/(F71-0)&lt;0.005,"*",100*145281/(F71-0)),0)</f>
        <v>0.8392016294540184</v>
      </c>
    </row>
    <row r="43" spans="1:7" ht="12.75">
      <c r="A43" s="11" t="s">
        <v>125</v>
      </c>
      <c r="B43" s="17">
        <v>166799</v>
      </c>
      <c r="C43" s="17">
        <v>0</v>
      </c>
      <c r="D43" s="17">
        <v>166799</v>
      </c>
      <c r="E43" s="17">
        <v>166799</v>
      </c>
      <c r="F43" s="17">
        <v>166799</v>
      </c>
      <c r="G43" s="18">
        <f>IF(AND(F71&lt;&gt;0,166799&lt;&gt;0),IF(100*166799/(F71-0)&lt;0.005,"*",100*166799/(F71-0)),0)</f>
        <v>0.9634982729420971</v>
      </c>
    </row>
    <row r="44" spans="1:7" ht="12.75">
      <c r="A44" s="11" t="s">
        <v>126</v>
      </c>
      <c r="B44" s="17">
        <v>719499</v>
      </c>
      <c r="C44" s="17">
        <v>0</v>
      </c>
      <c r="D44" s="17">
        <v>719498</v>
      </c>
      <c r="E44" s="17">
        <v>719498</v>
      </c>
      <c r="F44" s="17">
        <v>719498</v>
      </c>
      <c r="G44" s="18">
        <f>IF(AND(F71&lt;&gt;0,719498&lt;&gt;0),IF(100*719498/(F71-0)&lt;0.005,"*",100*719498/(F71-0)),0)</f>
        <v>4.156110530550501</v>
      </c>
    </row>
    <row r="45" spans="1:7" ht="12.75">
      <c r="A45" s="11" t="s">
        <v>127</v>
      </c>
      <c r="B45" s="17">
        <v>95022</v>
      </c>
      <c r="C45" s="17">
        <v>0</v>
      </c>
      <c r="D45" s="17">
        <v>95022</v>
      </c>
      <c r="E45" s="17">
        <v>95022</v>
      </c>
      <c r="F45" s="17">
        <v>95022</v>
      </c>
      <c r="G45" s="18">
        <f>IF(AND(F71&lt;&gt;0,95022&lt;&gt;0),IF(100*95022/(F71-0)&lt;0.005,"*",100*95022/(F71-0)),0)</f>
        <v>0.5488853823554335</v>
      </c>
    </row>
    <row r="46" spans="1:7" ht="12.75">
      <c r="A46" s="11" t="s">
        <v>128</v>
      </c>
      <c r="B46" s="17">
        <v>99968</v>
      </c>
      <c r="C46" s="17">
        <v>0</v>
      </c>
      <c r="D46" s="17">
        <v>99968</v>
      </c>
      <c r="E46" s="17">
        <v>99968</v>
      </c>
      <c r="F46" s="17">
        <v>99968</v>
      </c>
      <c r="G46" s="18">
        <f>IF(AND(F71&lt;&gt;0,99968&lt;&gt;0),IF(100*99968/(F71-0)&lt;0.005,"*",100*99968/(F71-0)),0)</f>
        <v>0.5774554724517268</v>
      </c>
    </row>
    <row r="47" spans="1:7" ht="12.75">
      <c r="A47" s="11" t="s">
        <v>129</v>
      </c>
      <c r="B47" s="17">
        <v>21280</v>
      </c>
      <c r="C47" s="17">
        <v>0</v>
      </c>
      <c r="D47" s="17">
        <v>21280</v>
      </c>
      <c r="E47" s="17">
        <v>21280</v>
      </c>
      <c r="F47" s="17">
        <v>21280</v>
      </c>
      <c r="G47" s="18">
        <f>IF(AND(F71&lt;&gt;0,21280&lt;&gt;0),IF(100*21280/(F71-0)&lt;0.005,"*",100*21280/(F71-0)),0)</f>
        <v>0.12292185953277794</v>
      </c>
    </row>
    <row r="48" spans="1:7" ht="12.75">
      <c r="A48" s="11" t="s">
        <v>130</v>
      </c>
      <c r="B48" s="17">
        <v>191524</v>
      </c>
      <c r="C48" s="17">
        <v>0</v>
      </c>
      <c r="D48" s="17">
        <v>191524</v>
      </c>
      <c r="E48" s="17">
        <v>191524</v>
      </c>
      <c r="F48" s="17">
        <v>191524</v>
      </c>
      <c r="G48" s="18">
        <f>IF(AND(F71&lt;&gt;0,191524&lt;&gt;0),IF(100*191524/(F71-0)&lt;0.005,"*",100*191524/(F71-0)),0)</f>
        <v>1.1063198414076956</v>
      </c>
    </row>
    <row r="49" spans="1:7" ht="12.75">
      <c r="A49" s="11" t="s">
        <v>131</v>
      </c>
      <c r="B49" s="17">
        <v>486257</v>
      </c>
      <c r="C49" s="17">
        <v>0</v>
      </c>
      <c r="D49" s="17">
        <v>486257</v>
      </c>
      <c r="E49" s="17">
        <v>486257</v>
      </c>
      <c r="F49" s="17">
        <v>486257</v>
      </c>
      <c r="G49" s="18">
        <f>IF(AND(F71&lt;&gt;0,486257&lt;&gt;0),IF(100*486257/(F71-0)&lt;0.005,"*",100*486257/(F71-0)),0)</f>
        <v>2.8088164779525377</v>
      </c>
    </row>
    <row r="50" spans="1:7" ht="12.75">
      <c r="A50" s="11" t="s">
        <v>132</v>
      </c>
      <c r="B50" s="17">
        <v>75609</v>
      </c>
      <c r="C50" s="17">
        <v>0</v>
      </c>
      <c r="D50" s="17">
        <v>75609</v>
      </c>
      <c r="E50" s="17">
        <v>75609</v>
      </c>
      <c r="F50" s="17">
        <v>75609</v>
      </c>
      <c r="G50" s="18">
        <f>IF(AND(F71&lt;&gt;0,75609&lt;&gt;0),IF(100*75609/(F71-0)&lt;0.005,"*",100*75609/(F71-0)),0)</f>
        <v>0.43674806754764134</v>
      </c>
    </row>
    <row r="51" spans="1:7" ht="12.75">
      <c r="A51" s="11" t="s">
        <v>133</v>
      </c>
      <c r="B51" s="17">
        <v>47353</v>
      </c>
      <c r="C51" s="17">
        <v>0</v>
      </c>
      <c r="D51" s="17">
        <v>47353</v>
      </c>
      <c r="E51" s="17">
        <v>47353</v>
      </c>
      <c r="F51" s="17">
        <v>47353</v>
      </c>
      <c r="G51" s="18">
        <f>IF(AND(F71&lt;&gt;0,47353&lt;&gt;0),IF(100*47353/(F71-0)&lt;0.005,"*",100*47353/(F71-0)),0)</f>
        <v>0.27353001947629857</v>
      </c>
    </row>
    <row r="52" spans="1:7" ht="12.75">
      <c r="A52" s="11" t="s">
        <v>134</v>
      </c>
      <c r="B52" s="17">
        <v>158285</v>
      </c>
      <c r="C52" s="17">
        <v>0</v>
      </c>
      <c r="D52" s="17">
        <v>158285</v>
      </c>
      <c r="E52" s="17">
        <v>158285</v>
      </c>
      <c r="F52" s="17">
        <v>158285</v>
      </c>
      <c r="G52" s="18">
        <f>IF(AND(F71&lt;&gt;0,158285&lt;&gt;0),IF(100*158285/(F71-0)&lt;0.005,"*",100*158285/(F71-0)),0)</f>
        <v>0.9143179763226389</v>
      </c>
    </row>
    <row r="53" spans="1:7" ht="12.75">
      <c r="A53" s="11" t="s">
        <v>135</v>
      </c>
      <c r="B53" s="17">
        <v>380545</v>
      </c>
      <c r="C53" s="17">
        <v>0</v>
      </c>
      <c r="D53" s="17">
        <v>380545</v>
      </c>
      <c r="E53" s="17">
        <v>380545</v>
      </c>
      <c r="F53" s="17">
        <v>380545</v>
      </c>
      <c r="G53" s="18">
        <f>IF(AND(F71&lt;&gt;0,380545&lt;&gt;0),IF(100*380545/(F71-0)&lt;0.005,"*",100*380545/(F71-0)),0)</f>
        <v>2.1981813456720385</v>
      </c>
    </row>
    <row r="54" spans="1:7" ht="12.75">
      <c r="A54" s="11" t="s">
        <v>136</v>
      </c>
      <c r="B54" s="17">
        <v>110176</v>
      </c>
      <c r="C54" s="17">
        <v>0</v>
      </c>
      <c r="D54" s="17">
        <v>110176</v>
      </c>
      <c r="E54" s="17">
        <v>110176</v>
      </c>
      <c r="F54" s="17">
        <v>110176</v>
      </c>
      <c r="G54" s="18">
        <f>IF(AND(F71&lt;&gt;0,110176&lt;&gt;0),IF(100*110176/(F71-0)&lt;0.005,"*",100*110176/(F71-0)),0)</f>
        <v>0.6364209960471495</v>
      </c>
    </row>
    <row r="55" spans="1:7" ht="12.75">
      <c r="A55" s="11" t="s">
        <v>137</v>
      </c>
      <c r="B55" s="17">
        <v>309166</v>
      </c>
      <c r="C55" s="17">
        <v>0</v>
      </c>
      <c r="D55" s="17">
        <v>309166</v>
      </c>
      <c r="E55" s="17">
        <v>309166</v>
      </c>
      <c r="F55" s="17">
        <v>309166</v>
      </c>
      <c r="G55" s="18">
        <f>IF(AND(F71&lt;&gt;0,309166&lt;&gt;0),IF(100*309166/(F71-0)&lt;0.005,"*",100*309166/(F71-0)),0)</f>
        <v>1.785867463548441</v>
      </c>
    </row>
    <row r="56" spans="1:7" ht="12.75">
      <c r="A56" s="11" t="s">
        <v>138</v>
      </c>
      <c r="B56" s="17">
        <v>18501</v>
      </c>
      <c r="C56" s="17">
        <v>0</v>
      </c>
      <c r="D56" s="17">
        <v>18501</v>
      </c>
      <c r="E56" s="17">
        <v>18501</v>
      </c>
      <c r="F56" s="17">
        <v>18501</v>
      </c>
      <c r="G56" s="18">
        <f>IF(AND(F71&lt;&gt;0,18501&lt;&gt;0),IF(100*18501/(F71-0)&lt;0.005,"*",100*18501/(F71-0)),0)</f>
        <v>0.10686923511353029</v>
      </c>
    </row>
    <row r="57" spans="1:7" ht="12.75">
      <c r="A57" s="11" t="s">
        <v>139</v>
      </c>
      <c r="B57" s="17">
        <v>0</v>
      </c>
      <c r="C57" s="17">
        <v>0</v>
      </c>
      <c r="D57" s="17">
        <v>0</v>
      </c>
      <c r="E57" s="17">
        <v>0</v>
      </c>
      <c r="F57" s="17">
        <v>0</v>
      </c>
      <c r="G57" s="18">
        <f>IF(AND(F71&lt;&gt;0,0&lt;&gt;0),IF(100*0/(F71-0)&lt;0.005,"*",100*0/(F71-0)),0)</f>
        <v>0</v>
      </c>
    </row>
    <row r="58" spans="1:7" ht="12.75">
      <c r="A58" s="11" t="s">
        <v>140</v>
      </c>
      <c r="B58" s="17">
        <v>3465</v>
      </c>
      <c r="C58" s="17">
        <v>0</v>
      </c>
      <c r="D58" s="17">
        <v>3465</v>
      </c>
      <c r="E58" s="17">
        <v>3465</v>
      </c>
      <c r="F58" s="17">
        <v>3465</v>
      </c>
      <c r="G58" s="18">
        <f>IF(AND(F71&lt;&gt;0,3465&lt;&gt;0),IF(100*3465/(F71-0)&lt;0.005,"*",100*3465/(F71-0)),0)</f>
        <v>0.020015236996291146</v>
      </c>
    </row>
    <row r="59" spans="1:7" ht="12.75">
      <c r="A59" s="11" t="s">
        <v>141</v>
      </c>
      <c r="B59" s="17">
        <v>0</v>
      </c>
      <c r="C59" s="17">
        <v>0</v>
      </c>
      <c r="D59" s="17">
        <v>0</v>
      </c>
      <c r="E59" s="17">
        <v>0</v>
      </c>
      <c r="F59" s="17">
        <v>0</v>
      </c>
      <c r="G59" s="18">
        <f>IF(AND(F71&lt;&gt;0,0&lt;&gt;0),IF(100*0/(F71-0)&lt;0.005,"*",100*0/(F71-0)),0)</f>
        <v>0</v>
      </c>
    </row>
    <row r="60" spans="1:7" ht="12.75">
      <c r="A60" s="11" t="s">
        <v>142</v>
      </c>
      <c r="B60" s="17">
        <v>71563</v>
      </c>
      <c r="C60" s="17">
        <v>0</v>
      </c>
      <c r="D60" s="17">
        <v>71563</v>
      </c>
      <c r="E60" s="17">
        <v>71563</v>
      </c>
      <c r="F60" s="17">
        <v>71563</v>
      </c>
      <c r="G60" s="18">
        <f>IF(AND(F71&lt;&gt;0,71563&lt;&gt;0),IF(100*71563/(F71-0)&lt;0.005,"*",100*71563/(F71-0)),0)</f>
        <v>0.41337674030752763</v>
      </c>
    </row>
    <row r="61" spans="1:7" ht="12.75">
      <c r="A61" s="11" t="s">
        <v>143</v>
      </c>
      <c r="B61" s="17">
        <v>0</v>
      </c>
      <c r="C61" s="17">
        <v>0</v>
      </c>
      <c r="D61" s="17">
        <v>0</v>
      </c>
      <c r="E61" s="17">
        <v>0</v>
      </c>
      <c r="F61" s="17">
        <v>0</v>
      </c>
      <c r="G61" s="18">
        <f>IF(AND(F71&lt;&gt;0,0&lt;&gt;0),IF(100*0/(F71-0)&lt;0.005,"*",100*0/(F71-0)),0)</f>
        <v>0</v>
      </c>
    </row>
    <row r="62" spans="1:7" ht="12.75">
      <c r="A62" s="11" t="s">
        <v>144</v>
      </c>
      <c r="B62" s="17">
        <v>2846</v>
      </c>
      <c r="C62" s="17">
        <v>0</v>
      </c>
      <c r="D62" s="17">
        <v>2847</v>
      </c>
      <c r="E62" s="17">
        <v>2847</v>
      </c>
      <c r="F62" s="17">
        <v>2847</v>
      </c>
      <c r="G62" s="18">
        <f>IF(AND(F71&lt;&gt;0,2847&lt;&gt;0),IF(100*2847/(F71-0)&lt;0.005,"*",100*2847/(F71-0)),0)</f>
        <v>0.016445419835047877</v>
      </c>
    </row>
    <row r="63" spans="1:7" ht="12.75">
      <c r="A63" s="11" t="s">
        <v>145</v>
      </c>
      <c r="B63" s="17">
        <v>191503</v>
      </c>
      <c r="C63" s="17">
        <v>0</v>
      </c>
      <c r="D63" s="17">
        <v>193758</v>
      </c>
      <c r="E63" s="17">
        <v>193758</v>
      </c>
      <c r="F63" s="17">
        <v>193758</v>
      </c>
      <c r="G63" s="18">
        <f>IF(AND(F71&lt;&gt;0,193758&lt;&gt;0),IF(100*193758/(F71-0)&lt;0.005,"*",100*193758/(F71-0)),0)</f>
        <v>1.1192243260973678</v>
      </c>
    </row>
    <row r="64" spans="1:7" ht="12.75">
      <c r="A64" s="11" t="s">
        <v>146</v>
      </c>
      <c r="B64" s="17">
        <v>0</v>
      </c>
      <c r="C64" s="17">
        <v>0</v>
      </c>
      <c r="D64" s="17">
        <v>0</v>
      </c>
      <c r="E64" s="17">
        <v>0</v>
      </c>
      <c r="F64" s="17">
        <v>0</v>
      </c>
      <c r="G64" s="18">
        <v>0</v>
      </c>
    </row>
    <row r="65" spans="1:7" ht="12.75">
      <c r="A65" s="11" t="s">
        <v>186</v>
      </c>
      <c r="B65" s="17">
        <v>0</v>
      </c>
      <c r="C65" s="17">
        <v>0</v>
      </c>
      <c r="D65" s="17">
        <v>0</v>
      </c>
      <c r="E65" s="17">
        <v>0</v>
      </c>
      <c r="F65" s="17">
        <v>0</v>
      </c>
      <c r="G65" s="18">
        <f>IF(AND(F71&lt;&gt;0,0&lt;&gt;0),IF(100*0/(F71-0)&lt;0.005,"*",100*0/(F71-0)),0)</f>
        <v>0</v>
      </c>
    </row>
    <row r="66" spans="1:7" ht="12.75">
      <c r="A66" s="11" t="s">
        <v>187</v>
      </c>
      <c r="B66" s="17">
        <v>0</v>
      </c>
      <c r="C66" s="17">
        <v>0</v>
      </c>
      <c r="D66" s="17">
        <v>0</v>
      </c>
      <c r="E66" s="17">
        <v>0</v>
      </c>
      <c r="F66" s="17">
        <v>0</v>
      </c>
      <c r="G66" s="18">
        <f>IF(AND(F71&lt;&gt;0,0&lt;&gt;0),IF(100*0/(F71-0)&lt;0.005,"*",100*0/(F71-0)),0)</f>
        <v>0</v>
      </c>
    </row>
    <row r="67" spans="1:7" ht="12.75">
      <c r="A67" s="11" t="s">
        <v>188</v>
      </c>
      <c r="B67" s="17">
        <v>0</v>
      </c>
      <c r="C67" s="17">
        <v>0</v>
      </c>
      <c r="D67" s="17">
        <v>0</v>
      </c>
      <c r="E67" s="17">
        <v>0</v>
      </c>
      <c r="F67" s="17">
        <v>0</v>
      </c>
      <c r="G67" s="18">
        <f>IF(AND(F71&lt;&gt;0,0&lt;&gt;0),IF(100*0/(F71-0)&lt;0.005,"*",100*0/(F71-0)),0)</f>
        <v>0</v>
      </c>
    </row>
    <row r="68" spans="1:7" ht="12.75">
      <c r="A68" s="11" t="s">
        <v>189</v>
      </c>
      <c r="B68" s="17">
        <v>0</v>
      </c>
      <c r="C68" s="17">
        <v>0</v>
      </c>
      <c r="D68" s="17">
        <v>0</v>
      </c>
      <c r="E68" s="17">
        <v>0</v>
      </c>
      <c r="F68" s="17">
        <v>0</v>
      </c>
      <c r="G68" s="18">
        <f>IF(AND(F71&lt;&gt;0,0&lt;&gt;0),IF(100*0/(F71-0)&lt;0.005,"*",100*0/(F71-0)),0)</f>
        <v>0</v>
      </c>
    </row>
    <row r="69" spans="1:7" ht="12.75">
      <c r="A69" s="11" t="s">
        <v>190</v>
      </c>
      <c r="B69" s="17">
        <v>0</v>
      </c>
      <c r="C69" s="17">
        <v>0</v>
      </c>
      <c r="D69" s="17">
        <v>0</v>
      </c>
      <c r="E69" s="17">
        <v>0</v>
      </c>
      <c r="F69" s="17">
        <v>0</v>
      </c>
      <c r="G69" s="18">
        <f>IF(AND(F71&lt;&gt;0,0&lt;&gt;0),IF(100*0/(F71-0)&lt;0.005,"*",100*0/(F71-0)),0)</f>
        <v>0</v>
      </c>
    </row>
    <row r="70" spans="1:7" ht="12.75">
      <c r="A70" s="11" t="s">
        <v>191</v>
      </c>
      <c r="B70" s="17">
        <v>0</v>
      </c>
      <c r="C70" s="17">
        <v>0</v>
      </c>
      <c r="D70" s="17">
        <v>0</v>
      </c>
      <c r="E70" s="17">
        <v>0</v>
      </c>
      <c r="F70" s="17">
        <v>750000</v>
      </c>
      <c r="G70" s="18">
        <f>IF(AND(F71&lt;&gt;0,750000&lt;&gt;0),IF(100*750000/(F71-0)&lt;0.005,"*",100*750000/(F71-0)),0)</f>
        <v>4.332302380149598</v>
      </c>
    </row>
    <row r="71" spans="1:7" ht="15" customHeight="1">
      <c r="A71" s="19" t="s">
        <v>87</v>
      </c>
      <c r="B71" s="20">
        <f>93315+44607+200141+56733+3653771+136057+266788+32291+92610+562340+330742+98905+30413+585057+206799+131029+101931+181288+163972+78121+229098+459371+775353+261970+86768+217052+38039+56834+43908+38521+404035+110578+2442930+301435+26400+727967+145281+166799+719499+95022+99968+21280+191524+486257+75609+47353+158285+380545+110176+309166+18501+0+3465+0+71563+0+2846+191503+0+0+0+0+0+0+0+0</f>
        <v>16561811</v>
      </c>
      <c r="C71" s="20">
        <f>0+0+0+0+0+0+0+0+0+0+0+0+0+0+0+0+0+0+0+0+0+0+0+0+0+0+0+0+0+0+0+0+0+0+0+0+0+0+0+0+0+0+0+0+0+0+0+0+0+0+0+0+0+0+0+0+0+0+0+0+0+0+0+0+0+0</f>
        <v>0</v>
      </c>
      <c r="D71" s="20">
        <f>93315+44607+200141+56733+3652186+136057+266788+32291+92610+562340+330742+98905+30413+585057+206799+131029+101931+181288+163972+78121+229098+459371+775352+261482+86768+217052+38039+56834+43908+38521+404035+110397+2442930+301435+26400+727967+145281+166799+719498+95022+99968+21280+191524+486257+75609+47353+158285+380545+110176+309166+18501+0+3465+0+71563+0+2847+193758+0+0+0+0+0+0+0+0</f>
        <v>16561811</v>
      </c>
      <c r="E71" s="20">
        <f>SUM(C71:D71)</f>
        <v>16561811</v>
      </c>
      <c r="F71" s="20">
        <f>93315+44607+200141+56733+3652186+136057+266788+32291+92610+562340+330742+98905+30413+585057+206799+131029+101931+181288+163972+78121+229098+459371+775352+261482+86768+217052+38039+56834+43908+38521+404035+110397+2442930+301435+26400+727967+145281+166799+719498+95022+99968+21280+191524+486257+75609+47353+158285+380545+110176+309166+18501+0+3465+0+71563+0+2847+193758+0+0+0+0+0+0+750000+0</f>
        <v>17311811</v>
      </c>
      <c r="G71" s="21" t="s">
        <v>147</v>
      </c>
    </row>
    <row r="72" spans="1:7" ht="15" customHeight="1">
      <c r="A72" s="33" t="s">
        <v>148</v>
      </c>
      <c r="B72" s="33"/>
      <c r="C72" s="33"/>
      <c r="D72" s="33"/>
      <c r="E72" s="33"/>
      <c r="F72" s="33"/>
      <c r="G72" s="33"/>
    </row>
    <row r="73" spans="1:7" ht="15" customHeight="1">
      <c r="A73" s="26" t="s">
        <v>149</v>
      </c>
      <c r="B73" s="26"/>
      <c r="C73" s="26"/>
      <c r="D73" s="26"/>
      <c r="E73" s="26"/>
      <c r="F73" s="26"/>
      <c r="G73" s="26"/>
    </row>
  </sheetData>
  <sheetProtection/>
  <mergeCells count="6">
    <mergeCell ref="A73:G73"/>
    <mergeCell ref="A4:A5"/>
    <mergeCell ref="B4:B5"/>
    <mergeCell ref="F4:F5"/>
    <mergeCell ref="G4:G5"/>
    <mergeCell ref="A72:G72"/>
  </mergeCells>
  <printOptions/>
  <pageMargins left="0.7" right="0.7" top="0.75" bottom="0.75" header="0.3" footer="0.3"/>
  <pageSetup fitToHeight="1" fitToWidth="1"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G70"/>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183</v>
      </c>
      <c r="B1" s="10"/>
      <c r="C1" s="10"/>
      <c r="D1" s="10"/>
      <c r="E1" s="10"/>
      <c r="F1" s="10"/>
      <c r="G1" s="12" t="s">
        <v>192</v>
      </c>
    </row>
    <row r="2" spans="1:7" ht="12.75">
      <c r="A2" s="13" t="s">
        <v>193</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51962</v>
      </c>
      <c r="C6" s="17">
        <v>0</v>
      </c>
      <c r="D6" s="17">
        <v>51582</v>
      </c>
      <c r="E6" s="17">
        <v>51582</v>
      </c>
      <c r="F6" s="17">
        <v>54501</v>
      </c>
      <c r="G6" s="18">
        <f>IF(AND(F67&lt;&gt;0,54501&lt;&gt;0),IF(100*54501/(F67-0)&lt;0.005,"*",100*54501/(F67-0)),0)</f>
        <v>1.2081885750464203</v>
      </c>
    </row>
    <row r="7" spans="1:7" ht="12.75">
      <c r="A7" s="11" t="s">
        <v>89</v>
      </c>
      <c r="B7" s="17">
        <v>19333</v>
      </c>
      <c r="C7" s="17">
        <v>0</v>
      </c>
      <c r="D7" s="17">
        <v>19191</v>
      </c>
      <c r="E7" s="17">
        <v>19191</v>
      </c>
      <c r="F7" s="17">
        <v>20277</v>
      </c>
      <c r="G7" s="18">
        <f>IF(AND(F67&lt;&gt;0,20277&lt;&gt;0),IF(100*20277/(F67-0)&lt;0.005,"*",100*20277/(F67-0)),0)</f>
        <v>0.44950440792308877</v>
      </c>
    </row>
    <row r="8" spans="1:7" ht="12.75">
      <c r="A8" s="11" t="s">
        <v>90</v>
      </c>
      <c r="B8" s="17">
        <v>55690</v>
      </c>
      <c r="C8" s="17">
        <v>0</v>
      </c>
      <c r="D8" s="17">
        <v>55282</v>
      </c>
      <c r="E8" s="17">
        <v>55282</v>
      </c>
      <c r="F8" s="17">
        <v>58411</v>
      </c>
      <c r="G8" s="18">
        <f>IF(AND(F67&lt;&gt;0,58411&lt;&gt;0),IF(100*58411/(F67-0)&lt;0.005,"*",100*58411/(F67-0)),0)</f>
        <v>1.2948662016666932</v>
      </c>
    </row>
    <row r="9" spans="1:7" ht="12.75">
      <c r="A9" s="11" t="s">
        <v>91</v>
      </c>
      <c r="B9" s="17">
        <v>37011</v>
      </c>
      <c r="C9" s="17">
        <v>0</v>
      </c>
      <c r="D9" s="17">
        <v>36740</v>
      </c>
      <c r="E9" s="17">
        <v>36740</v>
      </c>
      <c r="F9" s="17">
        <v>38819</v>
      </c>
      <c r="G9" s="18">
        <f>IF(AND(F67&lt;&gt;0,38819&lt;&gt;0),IF(100*38819/(F67-0)&lt;0.005,"*",100*38819/(F67-0)),0)</f>
        <v>0.8605470045453659</v>
      </c>
    </row>
    <row r="10" spans="1:7" ht="12.75">
      <c r="A10" s="11" t="s">
        <v>92</v>
      </c>
      <c r="B10" s="17">
        <v>633404</v>
      </c>
      <c r="C10" s="17">
        <v>0</v>
      </c>
      <c r="D10" s="17">
        <v>628764</v>
      </c>
      <c r="E10" s="17">
        <v>628764</v>
      </c>
      <c r="F10" s="17">
        <v>664348</v>
      </c>
      <c r="G10" s="18">
        <f>IF(AND(F67&lt;&gt;0,664348&lt;&gt;0),IF(100*664348/(F67-0)&lt;0.005,"*",100*664348/(F67-0)),0)</f>
        <v>14.727393322231503</v>
      </c>
    </row>
    <row r="11" spans="1:7" ht="12.75">
      <c r="A11" s="11" t="s">
        <v>93</v>
      </c>
      <c r="B11" s="17">
        <v>41265</v>
      </c>
      <c r="C11" s="17">
        <v>0</v>
      </c>
      <c r="D11" s="17">
        <v>40963</v>
      </c>
      <c r="E11" s="17">
        <v>40963</v>
      </c>
      <c r="F11" s="17">
        <v>43281</v>
      </c>
      <c r="G11" s="18">
        <f>IF(AND(F67&lt;&gt;0,43281&lt;&gt;0),IF(100*43281/(F67-0)&lt;0.005,"*",100*43281/(F67-0)),0)</f>
        <v>0.959461472570854</v>
      </c>
    </row>
    <row r="12" spans="1:7" ht="12.75">
      <c r="A12" s="11" t="s">
        <v>94</v>
      </c>
      <c r="B12" s="17">
        <v>57276</v>
      </c>
      <c r="C12" s="17">
        <v>0</v>
      </c>
      <c r="D12" s="17">
        <v>56856</v>
      </c>
      <c r="E12" s="17">
        <v>56856</v>
      </c>
      <c r="F12" s="17">
        <v>60074</v>
      </c>
      <c r="G12" s="18">
        <f>IF(AND(F67&lt;&gt;0,60074&lt;&gt;0),IF(100*60074/(F67-0)&lt;0.005,"*",100*60074/(F67-0)),0)</f>
        <v>1.3317319032189987</v>
      </c>
    </row>
    <row r="13" spans="1:7" ht="12.75">
      <c r="A13" s="11" t="s">
        <v>95</v>
      </c>
      <c r="B13" s="17">
        <v>25953</v>
      </c>
      <c r="C13" s="17">
        <v>0</v>
      </c>
      <c r="D13" s="17">
        <v>25763</v>
      </c>
      <c r="E13" s="17">
        <v>25763</v>
      </c>
      <c r="F13" s="17">
        <v>27221</v>
      </c>
      <c r="G13" s="18">
        <f>IF(AND(F67&lt;&gt;0,27221&lt;&gt;0),IF(100*27221/(F67-0)&lt;0.005,"*",100*27221/(F67-0)),0)</f>
        <v>0.6034403258901415</v>
      </c>
    </row>
    <row r="14" spans="1:7" ht="12.75">
      <c r="A14" s="11" t="s">
        <v>96</v>
      </c>
      <c r="B14" s="17">
        <v>18680</v>
      </c>
      <c r="C14" s="17">
        <v>0</v>
      </c>
      <c r="D14" s="17">
        <v>18543</v>
      </c>
      <c r="E14" s="17">
        <v>18543</v>
      </c>
      <c r="F14" s="17">
        <v>19593</v>
      </c>
      <c r="G14" s="18">
        <f>IF(AND(F67&lt;&gt;0,19593&lt;&gt;0),IF(100*19593/(F67-0)&lt;0.005,"*",100*19593/(F67-0)),0)</f>
        <v>0.43434136531227885</v>
      </c>
    </row>
    <row r="15" spans="1:7" ht="12.75">
      <c r="A15" s="11" t="s">
        <v>97</v>
      </c>
      <c r="B15" s="17">
        <v>210512</v>
      </c>
      <c r="C15" s="17">
        <v>0</v>
      </c>
      <c r="D15" s="17">
        <v>208970</v>
      </c>
      <c r="E15" s="17">
        <v>208970</v>
      </c>
      <c r="F15" s="17">
        <v>220796</v>
      </c>
      <c r="G15" s="18">
        <f>IF(AND(F67&lt;&gt;0,220796&lt;&gt;0),IF(100*220796/(F67-0)&lt;0.005,"*",100*220796/(F67-0)),0)</f>
        <v>4.894647889322203</v>
      </c>
    </row>
    <row r="16" spans="1:7" ht="12.75">
      <c r="A16" s="11" t="s">
        <v>98</v>
      </c>
      <c r="B16" s="17">
        <v>82838</v>
      </c>
      <c r="C16" s="17">
        <v>0</v>
      </c>
      <c r="D16" s="17">
        <v>82231</v>
      </c>
      <c r="E16" s="17">
        <v>82231</v>
      </c>
      <c r="F16" s="17">
        <v>86885</v>
      </c>
      <c r="G16" s="18">
        <f>IF(AND(F67&lt;&gt;0,86885&lt;&gt;0),IF(100*86885/(F67-0)&lt;0.005,"*",100*86885/(F67-0)),0)</f>
        <v>1.9260832708190347</v>
      </c>
    </row>
    <row r="17" spans="1:7" ht="12.75">
      <c r="A17" s="11" t="s">
        <v>99</v>
      </c>
      <c r="B17" s="17">
        <v>16143</v>
      </c>
      <c r="C17" s="17">
        <v>0</v>
      </c>
      <c r="D17" s="17">
        <v>16025</v>
      </c>
      <c r="E17" s="17">
        <v>16025</v>
      </c>
      <c r="F17" s="17">
        <v>16932</v>
      </c>
      <c r="G17" s="18">
        <f>IF(AND(F67&lt;&gt;0,16932&lt;&gt;0),IF(100*16932/(F67-0)&lt;0.005,"*",100*16932/(F67-0)),0)</f>
        <v>0.37535180919039995</v>
      </c>
    </row>
    <row r="18" spans="1:7" ht="12.75">
      <c r="A18" s="11" t="s">
        <v>100</v>
      </c>
      <c r="B18" s="17">
        <v>17227</v>
      </c>
      <c r="C18" s="17">
        <v>0</v>
      </c>
      <c r="D18" s="17">
        <v>17101</v>
      </c>
      <c r="E18" s="17">
        <v>17101</v>
      </c>
      <c r="F18" s="17">
        <v>18068</v>
      </c>
      <c r="G18" s="18">
        <f>IF(AND(F67&lt;&gt;0,18068&lt;&gt;0),IF(100*18068/(F67-0)&lt;0.005,"*",100*18068/(F67-0)),0)</f>
        <v>0.40053487411127725</v>
      </c>
    </row>
    <row r="19" spans="1:7" ht="12.75">
      <c r="A19" s="11" t="s">
        <v>101</v>
      </c>
      <c r="B19" s="17">
        <v>130902</v>
      </c>
      <c r="C19" s="17">
        <v>0</v>
      </c>
      <c r="D19" s="17">
        <v>129943</v>
      </c>
      <c r="E19" s="17">
        <v>129943</v>
      </c>
      <c r="F19" s="17">
        <v>137297</v>
      </c>
      <c r="G19" s="18">
        <f>IF(AND(F67&lt;&gt;0,137297&lt;&gt;0),IF(100*137297/(F67-0)&lt;0.005,"*",100*137297/(F67-0)),0)</f>
        <v>3.043626113064868</v>
      </c>
    </row>
    <row r="20" spans="1:7" ht="12.75">
      <c r="A20" s="11" t="s">
        <v>102</v>
      </c>
      <c r="B20" s="17">
        <v>74506</v>
      </c>
      <c r="C20" s="17">
        <v>0</v>
      </c>
      <c r="D20" s="17">
        <v>73960</v>
      </c>
      <c r="E20" s="17">
        <v>73960</v>
      </c>
      <c r="F20" s="17">
        <v>78145</v>
      </c>
      <c r="G20" s="18">
        <f>IF(AND(F67&lt;&gt;0,78145&lt;&gt;0),IF(100*78145/(F67-0)&lt;0.005,"*",100*78145/(F67-0)),0)</f>
        <v>1.7323332819031303</v>
      </c>
    </row>
    <row r="21" spans="1:7" ht="12.75">
      <c r="A21" s="11" t="s">
        <v>103</v>
      </c>
      <c r="B21" s="17">
        <v>41578</v>
      </c>
      <c r="C21" s="17">
        <v>0</v>
      </c>
      <c r="D21" s="17">
        <v>41274</v>
      </c>
      <c r="E21" s="17">
        <v>41274</v>
      </c>
      <c r="F21" s="17">
        <v>43610</v>
      </c>
      <c r="G21" s="18">
        <f>IF(AND(F67&lt;&gt;0,43610&lt;&gt;0),IF(100*43610/(F67-0)&lt;0.005,"*",100*43610/(F67-0)),0)</f>
        <v>0.9667548073938897</v>
      </c>
    </row>
    <row r="22" spans="1:7" ht="12.75">
      <c r="A22" s="11" t="s">
        <v>104</v>
      </c>
      <c r="B22" s="17">
        <v>28244</v>
      </c>
      <c r="C22" s="17">
        <v>0</v>
      </c>
      <c r="D22" s="17">
        <v>28037</v>
      </c>
      <c r="E22" s="17">
        <v>28037</v>
      </c>
      <c r="F22" s="17">
        <v>29623</v>
      </c>
      <c r="G22" s="18">
        <f>IF(AND(F67&lt;&gt;0,29623&lt;&gt;0),IF(100*29623/(F67-0)&lt;0.005,"*",100*29623/(F67-0)),0)</f>
        <v>0.6566883205555881</v>
      </c>
    </row>
    <row r="23" spans="1:7" ht="12.75">
      <c r="A23" s="11" t="s">
        <v>105</v>
      </c>
      <c r="B23" s="17">
        <v>47612</v>
      </c>
      <c r="C23" s="17">
        <v>0</v>
      </c>
      <c r="D23" s="17">
        <v>47263</v>
      </c>
      <c r="E23" s="17">
        <v>47263</v>
      </c>
      <c r="F23" s="17">
        <v>49938</v>
      </c>
      <c r="G23" s="18">
        <f>IF(AND(F67&lt;&gt;0,49938&lt;&gt;0),IF(100*49938/(F67-0)&lt;0.005,"*",100*49938/(F67-0)),0)</f>
        <v>1.107035119734833</v>
      </c>
    </row>
    <row r="24" spans="1:7" ht="12.75">
      <c r="A24" s="11" t="s">
        <v>106</v>
      </c>
      <c r="B24" s="17">
        <v>59395</v>
      </c>
      <c r="C24" s="17">
        <v>0</v>
      </c>
      <c r="D24" s="17">
        <v>58960</v>
      </c>
      <c r="E24" s="17">
        <v>58960</v>
      </c>
      <c r="F24" s="17">
        <v>62297</v>
      </c>
      <c r="G24" s="18">
        <f>IF(AND(F67&lt;&gt;0,62297&lt;&gt;0),IF(100*62297/(F67-0)&lt;0.005,"*",100*62297/(F67-0)),0)</f>
        <v>1.381011791704131</v>
      </c>
    </row>
    <row r="25" spans="1:7" ht="12.75">
      <c r="A25" s="11" t="s">
        <v>107</v>
      </c>
      <c r="B25" s="17">
        <v>19899</v>
      </c>
      <c r="C25" s="17">
        <v>0</v>
      </c>
      <c r="D25" s="17">
        <v>19753</v>
      </c>
      <c r="E25" s="17">
        <v>19753</v>
      </c>
      <c r="F25" s="17">
        <v>20871</v>
      </c>
      <c r="G25" s="18">
        <f>IF(AND(F67&lt;&gt;0,20871&lt;&gt;0),IF(100*20871/(F67-0)&lt;0.005,"*",100*20871/(F67-0)),0)</f>
        <v>0.4626723133482658</v>
      </c>
    </row>
    <row r="26" spans="1:7" ht="12.75">
      <c r="A26" s="11" t="s">
        <v>108</v>
      </c>
      <c r="B26" s="17">
        <v>96190</v>
      </c>
      <c r="C26" s="17">
        <v>0</v>
      </c>
      <c r="D26" s="17">
        <v>95485</v>
      </c>
      <c r="E26" s="17">
        <v>95485</v>
      </c>
      <c r="F26" s="17">
        <v>100889</v>
      </c>
      <c r="G26" s="18">
        <f>IF(AND(F67&lt;&gt;0,100889&lt;&gt;0),IF(100*100889/(F67-0)&lt;0.005,"*",100*100889/(F67-0)),0)</f>
        <v>2.2365266169035114</v>
      </c>
    </row>
    <row r="27" spans="1:7" ht="12.75">
      <c r="A27" s="11" t="s">
        <v>109</v>
      </c>
      <c r="B27" s="17">
        <v>82924</v>
      </c>
      <c r="C27" s="17">
        <v>0</v>
      </c>
      <c r="D27" s="17">
        <v>82316</v>
      </c>
      <c r="E27" s="17">
        <v>82316</v>
      </c>
      <c r="F27" s="17">
        <v>86975</v>
      </c>
      <c r="G27" s="18">
        <f>IF(AND(F67&lt;&gt;0,86975&lt;&gt;0),IF(100*86975/(F67-0)&lt;0.005,"*",100*86975/(F67-0)),0)</f>
        <v>1.9280784080046678</v>
      </c>
    </row>
    <row r="28" spans="1:7" ht="12.75">
      <c r="A28" s="11" t="s">
        <v>110</v>
      </c>
      <c r="B28" s="17">
        <v>168023</v>
      </c>
      <c r="C28" s="17">
        <v>0</v>
      </c>
      <c r="D28" s="17">
        <v>166792</v>
      </c>
      <c r="E28" s="17">
        <v>166792</v>
      </c>
      <c r="F28" s="17">
        <v>176231</v>
      </c>
      <c r="G28" s="18">
        <f>IF(AND(F67&lt;&gt;0,176231&lt;&gt;0),IF(100*176231/(F67-0)&lt;0.005,"*",100*176231/(F67-0)),0)</f>
        <v>3.9067224595696532</v>
      </c>
    </row>
    <row r="29" spans="1:7" ht="12.75">
      <c r="A29" s="11" t="s">
        <v>111</v>
      </c>
      <c r="B29" s="17">
        <v>120834</v>
      </c>
      <c r="C29" s="17">
        <v>0</v>
      </c>
      <c r="D29" s="17">
        <v>119949</v>
      </c>
      <c r="E29" s="17">
        <v>119949</v>
      </c>
      <c r="F29" s="17">
        <v>126738</v>
      </c>
      <c r="G29" s="18">
        <f>IF(AND(F67&lt;&gt;0,126738&lt;&gt;0),IF(100*126738/(F67-0)&lt;0.005,"*",100*126738/(F67-0)),0)</f>
        <v>2.8095521848082274</v>
      </c>
    </row>
    <row r="30" spans="1:7" ht="12.75">
      <c r="A30" s="11" t="s">
        <v>112</v>
      </c>
      <c r="B30" s="17">
        <v>35191</v>
      </c>
      <c r="C30" s="17">
        <v>0</v>
      </c>
      <c r="D30" s="17">
        <v>34933</v>
      </c>
      <c r="E30" s="17">
        <v>34933</v>
      </c>
      <c r="F30" s="17">
        <v>36910</v>
      </c>
      <c r="G30" s="18">
        <f>IF(AND(F67&lt;&gt;0,36910&lt;&gt;0),IF(100*36910/(F67-0)&lt;0.005,"*",100*36910/(F67-0)),0)</f>
        <v>0.8182279280189972</v>
      </c>
    </row>
    <row r="31" spans="1:7" ht="12.75">
      <c r="A31" s="11" t="s">
        <v>113</v>
      </c>
      <c r="B31" s="17">
        <v>58359</v>
      </c>
      <c r="C31" s="17">
        <v>0</v>
      </c>
      <c r="D31" s="17">
        <v>57932</v>
      </c>
      <c r="E31" s="17">
        <v>57932</v>
      </c>
      <c r="F31" s="17">
        <v>61210</v>
      </c>
      <c r="G31" s="18">
        <f>IF(AND(F67&lt;&gt;0,61210&lt;&gt;0),IF(100*61210/(F67-0)&lt;0.005,"*",100*61210/(F67-0)),0)</f>
        <v>1.356914968139876</v>
      </c>
    </row>
    <row r="32" spans="1:7" ht="12.75">
      <c r="A32" s="11" t="s">
        <v>114</v>
      </c>
      <c r="B32" s="17">
        <v>12078</v>
      </c>
      <c r="C32" s="17">
        <v>0</v>
      </c>
      <c r="D32" s="17">
        <v>11989</v>
      </c>
      <c r="E32" s="17">
        <v>11989</v>
      </c>
      <c r="F32" s="17">
        <v>12668</v>
      </c>
      <c r="G32" s="18">
        <f>IF(AND(F67&lt;&gt;0,12668&lt;&gt;0),IF(100*12668/(F67-0)&lt;0.005,"*",100*12668/(F67-0)),0)</f>
        <v>0.2808266429733042</v>
      </c>
    </row>
    <row r="33" spans="1:7" ht="12.75">
      <c r="A33" s="11" t="s">
        <v>115</v>
      </c>
      <c r="B33" s="17">
        <v>26271</v>
      </c>
      <c r="C33" s="17">
        <v>0</v>
      </c>
      <c r="D33" s="17">
        <v>26079</v>
      </c>
      <c r="E33" s="17">
        <v>26079</v>
      </c>
      <c r="F33" s="17">
        <v>27554</v>
      </c>
      <c r="G33" s="18">
        <f>IF(AND(F67&lt;&gt;0,27554&lt;&gt;0),IF(100*27554/(F67-0)&lt;0.005,"*",100*27554/(F67-0)),0)</f>
        <v>0.6108223334769832</v>
      </c>
    </row>
    <row r="34" spans="1:7" ht="12.75">
      <c r="A34" s="11" t="s">
        <v>116</v>
      </c>
      <c r="B34" s="17">
        <v>33894</v>
      </c>
      <c r="C34" s="17">
        <v>0</v>
      </c>
      <c r="D34" s="17">
        <v>33646</v>
      </c>
      <c r="E34" s="17">
        <v>33646</v>
      </c>
      <c r="F34" s="17">
        <v>35550</v>
      </c>
      <c r="G34" s="18">
        <f>IF(AND(F67&lt;&gt;0,35550&lt;&gt;0),IF(100*35550/(F67-0)&lt;0.005,"*",100*35550/(F67-0)),0)</f>
        <v>0.7880791883249892</v>
      </c>
    </row>
    <row r="35" spans="1:7" ht="12.75">
      <c r="A35" s="11" t="s">
        <v>117</v>
      </c>
      <c r="B35" s="17">
        <v>18915</v>
      </c>
      <c r="C35" s="17">
        <v>0</v>
      </c>
      <c r="D35" s="17">
        <v>18777</v>
      </c>
      <c r="E35" s="17">
        <v>18777</v>
      </c>
      <c r="F35" s="17">
        <v>19839</v>
      </c>
      <c r="G35" s="18">
        <f>IF(AND(F67&lt;&gt;0,19839&lt;&gt;0),IF(100*19839/(F67-0)&lt;0.005,"*",100*19839/(F67-0)),0)</f>
        <v>0.4397947402863421</v>
      </c>
    </row>
    <row r="36" spans="1:7" ht="12.75">
      <c r="A36" s="11" t="s">
        <v>118</v>
      </c>
      <c r="B36" s="17">
        <v>192452</v>
      </c>
      <c r="C36" s="17">
        <v>0</v>
      </c>
      <c r="D36" s="17">
        <v>191042</v>
      </c>
      <c r="E36" s="17">
        <v>191042</v>
      </c>
      <c r="F36" s="17">
        <v>201854</v>
      </c>
      <c r="G36" s="18">
        <f>IF(AND(F67&lt;&gt;0,201854&lt;&gt;0),IF(100*201854/(F67-0)&lt;0.005,"*",100*201854/(F67-0)),0)</f>
        <v>4.4747380163193355</v>
      </c>
    </row>
    <row r="37" spans="1:7" ht="12.75">
      <c r="A37" s="11" t="s">
        <v>119</v>
      </c>
      <c r="B37" s="17">
        <v>30069</v>
      </c>
      <c r="C37" s="17">
        <v>0</v>
      </c>
      <c r="D37" s="17">
        <v>29849</v>
      </c>
      <c r="E37" s="17">
        <v>29849</v>
      </c>
      <c r="F37" s="17">
        <v>31538</v>
      </c>
      <c r="G37" s="18">
        <f>IF(AND(F67&lt;&gt;0,31538&lt;&gt;0),IF(100*31538/(F67-0)&lt;0.005,"*",100*31538/(F67-0)),0)</f>
        <v>0.6991404062276656</v>
      </c>
    </row>
    <row r="38" spans="1:7" ht="12.75">
      <c r="A38" s="11" t="s">
        <v>120</v>
      </c>
      <c r="B38" s="17">
        <v>298925</v>
      </c>
      <c r="C38" s="17">
        <v>0</v>
      </c>
      <c r="D38" s="17">
        <v>296735</v>
      </c>
      <c r="E38" s="17">
        <v>296735</v>
      </c>
      <c r="F38" s="17">
        <v>313528</v>
      </c>
      <c r="G38" s="18">
        <f>IF(AND(F67&lt;&gt;0,313528&lt;&gt;0),IF(100*313528/(F67-0)&lt;0.005,"*",100*313528/(F67-0)),0)</f>
        <v>6.950348572634521</v>
      </c>
    </row>
    <row r="39" spans="1:7" ht="12.75">
      <c r="A39" s="11" t="s">
        <v>121</v>
      </c>
      <c r="B39" s="17">
        <v>102528</v>
      </c>
      <c r="C39" s="17">
        <v>0</v>
      </c>
      <c r="D39" s="17">
        <v>101776</v>
      </c>
      <c r="E39" s="17">
        <v>101776</v>
      </c>
      <c r="F39" s="17">
        <v>107536</v>
      </c>
      <c r="G39" s="18">
        <f>IF(AND(F67&lt;&gt;0,107536&lt;&gt;0),IF(100*107536/(F67-0)&lt;0.005,"*",100*107536/(F67-0)),0)</f>
        <v>2.3838785821579758</v>
      </c>
    </row>
    <row r="40" spans="1:7" ht="12.75">
      <c r="A40" s="11" t="s">
        <v>122</v>
      </c>
      <c r="B40" s="17">
        <v>12715</v>
      </c>
      <c r="C40" s="17">
        <v>0</v>
      </c>
      <c r="D40" s="17">
        <v>12621</v>
      </c>
      <c r="E40" s="17">
        <v>12621</v>
      </c>
      <c r="F40" s="17">
        <v>13336</v>
      </c>
      <c r="G40" s="18">
        <f>IF(AND(F67&lt;&gt;0,13336&lt;&gt;0),IF(100*13336/(F67-0)&lt;0.005,"*",100*13336/(F67-0)),0)</f>
        <v>0.29563499452889047</v>
      </c>
    </row>
    <row r="41" spans="1:7" ht="12.75">
      <c r="A41" s="11" t="s">
        <v>123</v>
      </c>
      <c r="B41" s="17">
        <v>219681</v>
      </c>
      <c r="C41" s="17">
        <v>0</v>
      </c>
      <c r="D41" s="17">
        <v>218072</v>
      </c>
      <c r="E41" s="17">
        <v>218072</v>
      </c>
      <c r="F41" s="17">
        <v>230413</v>
      </c>
      <c r="G41" s="18">
        <f>IF(AND(F67&lt;&gt;0,230413&lt;&gt;0),IF(100*230413/(F67-0)&lt;0.005,"*",100*230413/(F67-0)),0)</f>
        <v>5.1078393817025525</v>
      </c>
    </row>
    <row r="42" spans="1:7" ht="12.75">
      <c r="A42" s="11" t="s">
        <v>124</v>
      </c>
      <c r="B42" s="17">
        <v>51988</v>
      </c>
      <c r="C42" s="17">
        <v>0</v>
      </c>
      <c r="D42" s="17">
        <v>51607</v>
      </c>
      <c r="E42" s="17">
        <v>51607</v>
      </c>
      <c r="F42" s="17">
        <v>54527</v>
      </c>
      <c r="G42" s="18">
        <f>IF(AND(F67&lt;&gt;0,54527&lt;&gt;0),IF(100*54527/(F67-0)&lt;0.005,"*",100*54527/(F67-0)),0)</f>
        <v>1.2087649480111586</v>
      </c>
    </row>
    <row r="43" spans="1:7" ht="12.75">
      <c r="A43" s="11" t="s">
        <v>125</v>
      </c>
      <c r="B43" s="17">
        <v>60913</v>
      </c>
      <c r="C43" s="17">
        <v>0</v>
      </c>
      <c r="D43" s="17">
        <v>60466</v>
      </c>
      <c r="E43" s="17">
        <v>60466</v>
      </c>
      <c r="F43" s="17">
        <v>63889</v>
      </c>
      <c r="G43" s="18">
        <f>IF(AND(F67&lt;&gt;0,63889&lt;&gt;0),IF(100*63889/(F67-0)&lt;0.005,"*",100*63889/(F67-0)),0)</f>
        <v>1.4163035516988816</v>
      </c>
    </row>
    <row r="44" spans="1:7" ht="12.75">
      <c r="A44" s="11" t="s">
        <v>126</v>
      </c>
      <c r="B44" s="17">
        <v>179086</v>
      </c>
      <c r="C44" s="17">
        <v>0</v>
      </c>
      <c r="D44" s="17">
        <v>177774</v>
      </c>
      <c r="E44" s="17">
        <v>177774</v>
      </c>
      <c r="F44" s="17">
        <v>187835</v>
      </c>
      <c r="G44" s="18">
        <f>IF(AND(F67&lt;&gt;0,187835&lt;&gt;0),IF(100*187835/(F67-0)&lt;0.005,"*",100*187835/(F67-0)),0)</f>
        <v>4.163962147370587</v>
      </c>
    </row>
    <row r="45" spans="1:7" ht="12.75">
      <c r="A45" s="11" t="s">
        <v>127</v>
      </c>
      <c r="B45" s="17">
        <v>10139</v>
      </c>
      <c r="C45" s="17">
        <v>0</v>
      </c>
      <c r="D45" s="17">
        <v>10065</v>
      </c>
      <c r="E45" s="17">
        <v>10065</v>
      </c>
      <c r="F45" s="17">
        <v>10635</v>
      </c>
      <c r="G45" s="18">
        <f>IF(AND(F67&lt;&gt;0,10635&lt;&gt;0),IF(100*10635/(F67-0)&lt;0.005,"*",100*10635/(F67-0)),0)</f>
        <v>0.23575871076895247</v>
      </c>
    </row>
    <row r="46" spans="1:7" ht="12.75">
      <c r="A46" s="11" t="s">
        <v>128</v>
      </c>
      <c r="B46" s="17">
        <v>44885</v>
      </c>
      <c r="C46" s="17">
        <v>0</v>
      </c>
      <c r="D46" s="17">
        <v>44556</v>
      </c>
      <c r="E46" s="17">
        <v>44556</v>
      </c>
      <c r="F46" s="17">
        <v>47077</v>
      </c>
      <c r="G46" s="18">
        <f>IF(AND(F67&lt;&gt;0,47077&lt;&gt;0),IF(100*47077/(F67-0)&lt;0.005,"*",100*47077/(F67-0)),0)</f>
        <v>1.0436119254226588</v>
      </c>
    </row>
    <row r="47" spans="1:7" ht="12.75">
      <c r="A47" s="11" t="s">
        <v>129</v>
      </c>
      <c r="B47" s="17">
        <v>7989</v>
      </c>
      <c r="C47" s="17">
        <v>0</v>
      </c>
      <c r="D47" s="17">
        <v>7930</v>
      </c>
      <c r="E47" s="17">
        <v>7930</v>
      </c>
      <c r="F47" s="17">
        <v>8379</v>
      </c>
      <c r="G47" s="18">
        <f>IF(AND(F67&lt;&gt;0,8379&lt;&gt;0),IF(100*8379/(F67-0)&lt;0.005,"*",100*8379/(F67-0)),0)</f>
        <v>0.18574727198242152</v>
      </c>
    </row>
    <row r="48" spans="1:7" ht="12.75">
      <c r="A48" s="11" t="s">
        <v>130</v>
      </c>
      <c r="B48" s="17">
        <v>74135</v>
      </c>
      <c r="C48" s="17">
        <v>0</v>
      </c>
      <c r="D48" s="17">
        <v>73591</v>
      </c>
      <c r="E48" s="17">
        <v>73591</v>
      </c>
      <c r="F48" s="17">
        <v>77756</v>
      </c>
      <c r="G48" s="18">
        <f>IF(AND(F67&lt;&gt;0,77756&lt;&gt;0),IF(100*77756/(F67-0)&lt;0.005,"*",100*77756/(F67-0)),0)</f>
        <v>1.723709855623006</v>
      </c>
    </row>
    <row r="49" spans="1:7" ht="12.75">
      <c r="A49" s="11" t="s">
        <v>131</v>
      </c>
      <c r="B49" s="17">
        <v>265798</v>
      </c>
      <c r="C49" s="17">
        <v>0</v>
      </c>
      <c r="D49" s="17">
        <v>263851</v>
      </c>
      <c r="E49" s="17">
        <v>263851</v>
      </c>
      <c r="F49" s="17">
        <v>278783</v>
      </c>
      <c r="G49" s="18">
        <f>IF(AND(F67&lt;&gt;0,278783&lt;&gt;0),IF(100*278783/(F67-0)&lt;0.005,"*",100*278783/(F67-0)),0)</f>
        <v>6.18011477802547</v>
      </c>
    </row>
    <row r="50" spans="1:7" ht="12.75">
      <c r="A50" s="11" t="s">
        <v>132</v>
      </c>
      <c r="B50" s="17">
        <v>26928</v>
      </c>
      <c r="C50" s="17">
        <v>0</v>
      </c>
      <c r="D50" s="17">
        <v>26731</v>
      </c>
      <c r="E50" s="17">
        <v>26731</v>
      </c>
      <c r="F50" s="17">
        <v>28244</v>
      </c>
      <c r="G50" s="18">
        <f>IF(AND(F67&lt;&gt;0,28244&lt;&gt;0),IF(100*28244/(F67-0)&lt;0.005,"*",100*28244/(F67-0)),0)</f>
        <v>0.6261183852335019</v>
      </c>
    </row>
    <row r="51" spans="1:7" ht="12.75">
      <c r="A51" s="11" t="s">
        <v>133</v>
      </c>
      <c r="B51" s="17">
        <v>11691</v>
      </c>
      <c r="C51" s="17">
        <v>0</v>
      </c>
      <c r="D51" s="17">
        <v>11605</v>
      </c>
      <c r="E51" s="17">
        <v>11605</v>
      </c>
      <c r="F51" s="17">
        <v>12262</v>
      </c>
      <c r="G51" s="18">
        <f>IF(AND(F67&lt;&gt;0,12262&lt;&gt;0),IF(100*12262/(F67-0)&lt;0.005,"*",100*12262/(F67-0)),0)</f>
        <v>0.27182635744700473</v>
      </c>
    </row>
    <row r="52" spans="1:7" ht="12.75">
      <c r="A52" s="11" t="s">
        <v>134</v>
      </c>
      <c r="B52" s="17">
        <v>75465</v>
      </c>
      <c r="C52" s="17">
        <v>0</v>
      </c>
      <c r="D52" s="17">
        <v>74912</v>
      </c>
      <c r="E52" s="17">
        <v>74912</v>
      </c>
      <c r="F52" s="17">
        <v>79152</v>
      </c>
      <c r="G52" s="18">
        <f>IF(AND(F67&lt;&gt;0,79152&lt;&gt;0),IF(100*79152/(F67-0)&lt;0.005,"*",100*79152/(F67-0)),0)</f>
        <v>1.754656650191267</v>
      </c>
    </row>
    <row r="53" spans="1:7" ht="12.75">
      <c r="A53" s="11" t="s">
        <v>135</v>
      </c>
      <c r="B53" s="17">
        <v>104309</v>
      </c>
      <c r="C53" s="17">
        <v>0</v>
      </c>
      <c r="D53" s="17">
        <v>103545</v>
      </c>
      <c r="E53" s="17">
        <v>103545</v>
      </c>
      <c r="F53" s="17">
        <v>109405</v>
      </c>
      <c r="G53" s="18">
        <f>IF(AND(F67&lt;&gt;0,109405&lt;&gt;0),IF(100*109405/(F67-0)&lt;0.005,"*",100*109405/(F67-0)),0)</f>
        <v>2.4253109310462855</v>
      </c>
    </row>
    <row r="54" spans="1:7" ht="12.75">
      <c r="A54" s="11" t="s">
        <v>136</v>
      </c>
      <c r="B54" s="17">
        <v>28823</v>
      </c>
      <c r="C54" s="17">
        <v>0</v>
      </c>
      <c r="D54" s="17">
        <v>28612</v>
      </c>
      <c r="E54" s="17">
        <v>28612</v>
      </c>
      <c r="F54" s="17">
        <v>30231</v>
      </c>
      <c r="G54" s="18">
        <f>IF(AND(F67&lt;&gt;0,30231&lt;&gt;0),IF(100*30231/(F67-0)&lt;0.005,"*",100*30231/(F67-0)),0)</f>
        <v>0.6701665806540857</v>
      </c>
    </row>
    <row r="55" spans="1:7" ht="12.75">
      <c r="A55" s="11" t="s">
        <v>137</v>
      </c>
      <c r="B55" s="17">
        <v>69202</v>
      </c>
      <c r="C55" s="17">
        <v>0</v>
      </c>
      <c r="D55" s="17">
        <v>68695</v>
      </c>
      <c r="E55" s="17">
        <v>68695</v>
      </c>
      <c r="F55" s="17">
        <v>72583</v>
      </c>
      <c r="G55" s="18">
        <f>IF(AND(F67&lt;&gt;0,72583&lt;&gt;0),IF(100*72583/(F67-0)&lt;0.005,"*",100*72583/(F67-0)),0)</f>
        <v>1.6090338038310181</v>
      </c>
    </row>
    <row r="56" spans="1:7" ht="12.75">
      <c r="A56" s="11" t="s">
        <v>138</v>
      </c>
      <c r="B56" s="17">
        <v>6364</v>
      </c>
      <c r="C56" s="17">
        <v>0</v>
      </c>
      <c r="D56" s="17">
        <v>6317</v>
      </c>
      <c r="E56" s="17">
        <v>6317</v>
      </c>
      <c r="F56" s="17">
        <v>6675</v>
      </c>
      <c r="G56" s="18">
        <f>IF(AND(F67&lt;&gt;0,6675&lt;&gt;0),IF(100*6675/(F67-0)&lt;0.005,"*",100*6675/(F67-0)),0)</f>
        <v>0.14797267460110558</v>
      </c>
    </row>
    <row r="57" spans="1:7" ht="12.75">
      <c r="A57" s="11" t="s">
        <v>139</v>
      </c>
      <c r="B57" s="17">
        <v>0</v>
      </c>
      <c r="C57" s="17">
        <v>0</v>
      </c>
      <c r="D57" s="17">
        <v>0</v>
      </c>
      <c r="E57" s="17">
        <v>0</v>
      </c>
      <c r="F57" s="17">
        <v>0</v>
      </c>
      <c r="G57" s="18">
        <f>IF(AND(F67&lt;&gt;0,0&lt;&gt;0),IF(100*0/(F67-0)&lt;0.005,"*",100*0/(F67-0)),0)</f>
        <v>0</v>
      </c>
    </row>
    <row r="58" spans="1:7" ht="12.75">
      <c r="A58" s="11" t="s">
        <v>140</v>
      </c>
      <c r="B58" s="17">
        <v>4977</v>
      </c>
      <c r="C58" s="17">
        <v>0</v>
      </c>
      <c r="D58" s="17">
        <v>4940</v>
      </c>
      <c r="E58" s="17">
        <v>4940</v>
      </c>
      <c r="F58" s="17">
        <v>5220</v>
      </c>
      <c r="G58" s="18">
        <f>IF(AND(F67&lt;&gt;0,5220&lt;&gt;0),IF(100*5220/(F67-0)&lt;0.005,"*",100*5220/(F67-0)),0)</f>
        <v>0.11571795676670728</v>
      </c>
    </row>
    <row r="59" spans="1:7" ht="12.75">
      <c r="A59" s="11" t="s">
        <v>141</v>
      </c>
      <c r="B59" s="17">
        <v>0</v>
      </c>
      <c r="C59" s="17">
        <v>0</v>
      </c>
      <c r="D59" s="17">
        <v>0</v>
      </c>
      <c r="E59" s="17">
        <v>0</v>
      </c>
      <c r="F59" s="17">
        <v>0</v>
      </c>
      <c r="G59" s="18">
        <f>IF(AND(F67&lt;&gt;0,0&lt;&gt;0),IF(100*0/(F67-0)&lt;0.005,"*",100*0/(F67-0)),0)</f>
        <v>0</v>
      </c>
    </row>
    <row r="60" spans="1:7" ht="12.75">
      <c r="A60" s="11" t="s">
        <v>142</v>
      </c>
      <c r="B60" s="17">
        <v>34203</v>
      </c>
      <c r="C60" s="17">
        <v>0</v>
      </c>
      <c r="D60" s="17">
        <v>33952</v>
      </c>
      <c r="E60" s="17">
        <v>33952</v>
      </c>
      <c r="F60" s="17">
        <v>35874</v>
      </c>
      <c r="G60" s="18">
        <f>IF(AND(F67&lt;&gt;0,35874&lt;&gt;0),IF(100*35874/(F67-0)&lt;0.005,"*",100*35874/(F67-0)),0)</f>
        <v>0.7952616821932676</v>
      </c>
    </row>
    <row r="61" spans="1:7" ht="12.75">
      <c r="A61" s="11" t="s">
        <v>143</v>
      </c>
      <c r="B61" s="17">
        <v>0</v>
      </c>
      <c r="C61" s="17">
        <v>0</v>
      </c>
      <c r="D61" s="17">
        <v>0</v>
      </c>
      <c r="E61" s="17">
        <v>0</v>
      </c>
      <c r="F61" s="17">
        <v>0</v>
      </c>
      <c r="G61" s="18">
        <f>IF(AND(F67&lt;&gt;0,0&lt;&gt;0),IF(100*0/(F67-0)&lt;0.005,"*",100*0/(F67-0)),0)</f>
        <v>0</v>
      </c>
    </row>
    <row r="62" spans="1:7" ht="12.75">
      <c r="A62" s="11" t="s">
        <v>144</v>
      </c>
      <c r="B62" s="17">
        <v>3395</v>
      </c>
      <c r="C62" s="17">
        <v>0</v>
      </c>
      <c r="D62" s="17">
        <v>3370</v>
      </c>
      <c r="E62" s="17">
        <v>3370</v>
      </c>
      <c r="F62" s="17">
        <v>3561</v>
      </c>
      <c r="G62" s="18">
        <f>IF(AND(F67&lt;&gt;0,3561&lt;&gt;0),IF(100*3561/(F67-0)&lt;0.005,"*",100*3561/(F67-0)),0)</f>
        <v>0.07894092797820779</v>
      </c>
    </row>
    <row r="63" spans="1:7" ht="12.75">
      <c r="A63" s="11" t="s">
        <v>145</v>
      </c>
      <c r="B63" s="17">
        <v>49559</v>
      </c>
      <c r="C63" s="17">
        <v>0</v>
      </c>
      <c r="D63" s="17">
        <v>52285</v>
      </c>
      <c r="E63" s="17">
        <v>52285</v>
      </c>
      <c r="F63" s="17">
        <v>55160</v>
      </c>
      <c r="G63" s="18">
        <f>IF(AND(F67&lt;&gt;0,55160&lt;&gt;0),IF(100*55160/(F67-0)&lt;0.005,"*",100*55160/(F67-0)),0)</f>
        <v>1.2227974128834431</v>
      </c>
    </row>
    <row r="64" spans="1:7" ht="12.75">
      <c r="A64" s="11" t="s">
        <v>146</v>
      </c>
      <c r="B64" s="17">
        <v>0</v>
      </c>
      <c r="C64" s="17">
        <v>0</v>
      </c>
      <c r="D64" s="17">
        <v>0</v>
      </c>
      <c r="E64" s="17">
        <v>0</v>
      </c>
      <c r="F64" s="17">
        <v>0</v>
      </c>
      <c r="G64" s="18">
        <v>0</v>
      </c>
    </row>
    <row r="65" spans="1:7" ht="12.75">
      <c r="A65" s="11" t="s">
        <v>189</v>
      </c>
      <c r="B65" s="17">
        <v>0</v>
      </c>
      <c r="C65" s="17">
        <v>0</v>
      </c>
      <c r="D65" s="17">
        <v>0</v>
      </c>
      <c r="E65" s="17">
        <v>0</v>
      </c>
      <c r="F65" s="17">
        <v>4622</v>
      </c>
      <c r="G65" s="18">
        <f>IF(AND(F67&lt;&gt;0,4622&lt;&gt;0),IF(100*4622/(F67-0)&lt;0.005,"*",100*4622/(F67-0)),0)</f>
        <v>0.10246137857772433</v>
      </c>
    </row>
    <row r="66" spans="1:7" ht="12.75">
      <c r="A66" s="11" t="s">
        <v>164</v>
      </c>
      <c r="B66" s="17">
        <v>0</v>
      </c>
      <c r="C66" s="17">
        <v>0</v>
      </c>
      <c r="D66" s="17">
        <v>0</v>
      </c>
      <c r="E66" s="17">
        <v>0</v>
      </c>
      <c r="F66" s="17">
        <v>5342</v>
      </c>
      <c r="G66" s="18">
        <f>IF(AND(F67&lt;&gt;0,5342&lt;&gt;0),IF(100*5342/(F67-0)&lt;0.005,"*",100*5342/(F67-0)),0)</f>
        <v>0.11842247606278741</v>
      </c>
    </row>
    <row r="67" spans="1:7" ht="15" customHeight="1">
      <c r="A67" s="19" t="s">
        <v>87</v>
      </c>
      <c r="B67" s="20">
        <f>51962+19333+55690+37011+633404+41265+57276+25953+18680+210512+82838+16143+17227+130902+74506+41578+28244+47612+59395+19899+96190+82924+168023+120834+35191+58359+12078+26271+33894+18915+192452+30069+298925+102528+12715+219681+51988+60913+179086+10139+44885+7989+74135+265798+26928+11691+75465+104309+28823+69202+6364+0+4977+0+34203+0+3395+49559+0+0+0+0+0+0+0+0</f>
        <v>4288328</v>
      </c>
      <c r="C67" s="20">
        <f>0+0+0+0+0+0+0+0+0+0+0+0+0+0+0+0+0+0+0+0+0+0+0+0+0+0+0+0+0+0+0+0+0+0+0+0+0+0+0+0+0+0+0+0+0+0+0+0+0+0+0+0+0+0+0+0+0+0+0+0+0+0+0+0+0+0</f>
        <v>0</v>
      </c>
      <c r="D67" s="20">
        <f>51582+19191+55282+36740+628764+40963+56856+25763+18543+208970+82231+16025+17101+129943+73960+41274+28037+47263+58960+19753+95485+82316+166792+119949+34933+57932+11989+26079+33646+18777+191042+29849+296735+101776+12621+218072+51607+60466+177774+10065+44556+7930+73591+263851+26731+11605+74912+103545+28612+68695+6317+0+4940+0+33952+0+3370+52285+0+0+0+0+0+0+0+0</f>
        <v>4259998</v>
      </c>
      <c r="E67" s="20">
        <f>SUM(C67:D67)</f>
        <v>4259998</v>
      </c>
      <c r="F67" s="20">
        <f>54501+20277+58411+38819+664348+43281+60074+27221+19593+220796+86885+16932+18068+137297+78145+43610+29623+49938+62297+20871+100889+86975+176231+126738+36910+61210+12668+27554+35550+19839+201854+31538+313528+107536+13336+230413+54527+63889+187835+10635+47077+8379+77756+278783+28244+12262+79152+109405+30231+72583+6675+0+5220+0+35874+0+3561+55160+0+0+0+0+4622+0+5342+0</f>
        <v>4510968</v>
      </c>
      <c r="G67" s="21" t="s">
        <v>147</v>
      </c>
    </row>
    <row r="68" spans="1:7" ht="15" customHeight="1">
      <c r="A68" s="33" t="s">
        <v>148</v>
      </c>
      <c r="B68" s="33"/>
      <c r="C68" s="33"/>
      <c r="D68" s="33"/>
      <c r="E68" s="33"/>
      <c r="F68" s="33"/>
      <c r="G68" s="33"/>
    </row>
    <row r="69" spans="1:7" ht="32.25" customHeight="1">
      <c r="A69" s="34" t="s">
        <v>409</v>
      </c>
      <c r="B69" s="34"/>
      <c r="C69" s="34"/>
      <c r="D69" s="34"/>
      <c r="E69" s="34"/>
      <c r="F69" s="34"/>
      <c r="G69" s="34"/>
    </row>
    <row r="70" spans="1:7" ht="15" customHeight="1">
      <c r="A70" s="26" t="s">
        <v>149</v>
      </c>
      <c r="B70" s="26"/>
      <c r="C70" s="26"/>
      <c r="D70" s="26"/>
      <c r="E70" s="26"/>
      <c r="F70" s="26"/>
      <c r="G70" s="26"/>
    </row>
  </sheetData>
  <sheetProtection/>
  <mergeCells count="7">
    <mergeCell ref="A70:G70"/>
    <mergeCell ref="A4:A5"/>
    <mergeCell ref="B4:B5"/>
    <mergeCell ref="F4:F5"/>
    <mergeCell ref="G4:G5"/>
    <mergeCell ref="A68:G68"/>
    <mergeCell ref="A69:G69"/>
  </mergeCells>
  <printOptions/>
  <pageMargins left="0.7" right="0.7" top="0.75" bottom="0.75" header="0.3" footer="0.3"/>
  <pageSetup fitToHeight="1" fitToWidth="1"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G72"/>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183</v>
      </c>
      <c r="B1" s="10"/>
      <c r="C1" s="10"/>
      <c r="D1" s="10"/>
      <c r="E1" s="10"/>
      <c r="F1" s="10"/>
      <c r="G1" s="12" t="s">
        <v>194</v>
      </c>
    </row>
    <row r="2" spans="1:7" ht="12.75">
      <c r="A2" s="13" t="s">
        <v>195</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44159</v>
      </c>
      <c r="C6" s="17">
        <v>0</v>
      </c>
      <c r="D6" s="17">
        <v>43156</v>
      </c>
      <c r="E6" s="17">
        <v>43156</v>
      </c>
      <c r="F6" s="17">
        <v>37034</v>
      </c>
      <c r="G6" s="18">
        <v>1.2343415867192125</v>
      </c>
    </row>
    <row r="7" spans="1:7" ht="12.75">
      <c r="A7" s="11" t="s">
        <v>89</v>
      </c>
      <c r="B7" s="17">
        <v>10171</v>
      </c>
      <c r="C7" s="17">
        <v>0</v>
      </c>
      <c r="D7" s="17">
        <v>10222</v>
      </c>
      <c r="E7" s="17">
        <v>10222</v>
      </c>
      <c r="F7" s="17">
        <v>8989</v>
      </c>
      <c r="G7" s="18">
        <v>0.2996029735653454</v>
      </c>
    </row>
    <row r="8" spans="1:7" ht="12.75">
      <c r="A8" s="11" t="s">
        <v>90</v>
      </c>
      <c r="B8" s="17">
        <v>20617</v>
      </c>
      <c r="C8" s="17">
        <v>0</v>
      </c>
      <c r="D8" s="17">
        <v>20041</v>
      </c>
      <c r="E8" s="17">
        <v>20041</v>
      </c>
      <c r="F8" s="17">
        <v>17198</v>
      </c>
      <c r="G8" s="18">
        <v>0.5732085815304049</v>
      </c>
    </row>
    <row r="9" spans="1:7" ht="12.75">
      <c r="A9" s="11" t="s">
        <v>91</v>
      </c>
      <c r="B9" s="17">
        <v>26805</v>
      </c>
      <c r="C9" s="17">
        <v>0</v>
      </c>
      <c r="D9" s="17">
        <v>27809</v>
      </c>
      <c r="E9" s="17">
        <v>27809</v>
      </c>
      <c r="F9" s="17">
        <v>25131</v>
      </c>
      <c r="G9" s="18">
        <v>0.837615121667671</v>
      </c>
    </row>
    <row r="10" spans="1:7" ht="12.75">
      <c r="A10" s="11" t="s">
        <v>92</v>
      </c>
      <c r="B10" s="17">
        <v>173598</v>
      </c>
      <c r="C10" s="17">
        <v>0</v>
      </c>
      <c r="D10" s="17">
        <v>176127</v>
      </c>
      <c r="E10" s="17">
        <v>176127</v>
      </c>
      <c r="F10" s="17">
        <v>157798</v>
      </c>
      <c r="G10" s="18">
        <v>5.2594003807614165</v>
      </c>
    </row>
    <row r="11" spans="1:7" ht="12.75">
      <c r="A11" s="11" t="s">
        <v>93</v>
      </c>
      <c r="B11" s="17">
        <v>48959</v>
      </c>
      <c r="C11" s="17">
        <v>0</v>
      </c>
      <c r="D11" s="17">
        <v>48882</v>
      </c>
      <c r="E11" s="17">
        <v>48882</v>
      </c>
      <c r="F11" s="17">
        <v>42748</v>
      </c>
      <c r="G11" s="18">
        <v>1.4247889547192552</v>
      </c>
    </row>
    <row r="12" spans="1:7" ht="12.75">
      <c r="A12" s="11" t="s">
        <v>94</v>
      </c>
      <c r="B12" s="17">
        <v>85854</v>
      </c>
      <c r="C12" s="17">
        <v>0</v>
      </c>
      <c r="D12" s="17">
        <v>80533</v>
      </c>
      <c r="E12" s="17">
        <v>80533</v>
      </c>
      <c r="F12" s="17">
        <v>72161</v>
      </c>
      <c r="G12" s="18">
        <v>2.4051229475413156</v>
      </c>
    </row>
    <row r="13" spans="1:7" ht="12.75">
      <c r="A13" s="11" t="s">
        <v>95</v>
      </c>
      <c r="B13" s="17">
        <v>12559</v>
      </c>
      <c r="C13" s="17">
        <v>0</v>
      </c>
      <c r="D13" s="17">
        <v>12553</v>
      </c>
      <c r="E13" s="17">
        <v>12553</v>
      </c>
      <c r="F13" s="17">
        <v>11399</v>
      </c>
      <c r="G13" s="18">
        <v>0.37992816727904904</v>
      </c>
    </row>
    <row r="14" spans="1:7" ht="12.75">
      <c r="A14" s="11" t="s">
        <v>96</v>
      </c>
      <c r="B14" s="17">
        <v>10393</v>
      </c>
      <c r="C14" s="17">
        <v>0</v>
      </c>
      <c r="D14" s="17">
        <v>10389</v>
      </c>
      <c r="E14" s="17">
        <v>10389</v>
      </c>
      <c r="F14" s="17">
        <v>9136</v>
      </c>
      <c r="G14" s="18">
        <v>0.3045024770823223</v>
      </c>
    </row>
    <row r="15" spans="1:7" ht="12.75">
      <c r="A15" s="11" t="s">
        <v>97</v>
      </c>
      <c r="B15" s="17">
        <v>70658</v>
      </c>
      <c r="C15" s="17">
        <v>0</v>
      </c>
      <c r="D15" s="17">
        <v>68683</v>
      </c>
      <c r="E15" s="17">
        <v>68683</v>
      </c>
      <c r="F15" s="17">
        <v>58940</v>
      </c>
      <c r="G15" s="18">
        <v>1.964467600616471</v>
      </c>
    </row>
    <row r="16" spans="1:7" ht="12.75">
      <c r="A16" s="11" t="s">
        <v>98</v>
      </c>
      <c r="B16" s="17">
        <v>55875</v>
      </c>
      <c r="C16" s="17">
        <v>0</v>
      </c>
      <c r="D16" s="17">
        <v>54313</v>
      </c>
      <c r="E16" s="17">
        <v>54313</v>
      </c>
      <c r="F16" s="17">
        <v>46608</v>
      </c>
      <c r="G16" s="18">
        <v>1.5534425844847721</v>
      </c>
    </row>
    <row r="17" spans="1:7" ht="12.75">
      <c r="A17" s="11" t="s">
        <v>99</v>
      </c>
      <c r="B17" s="17">
        <v>5627</v>
      </c>
      <c r="C17" s="17">
        <v>0</v>
      </c>
      <c r="D17" s="17">
        <v>5470</v>
      </c>
      <c r="E17" s="17">
        <v>5470</v>
      </c>
      <c r="F17" s="17">
        <v>4694</v>
      </c>
      <c r="G17" s="18">
        <v>0.15645081298428426</v>
      </c>
    </row>
    <row r="18" spans="1:7" ht="12.75">
      <c r="A18" s="11" t="s">
        <v>100</v>
      </c>
      <c r="B18" s="17">
        <v>19038</v>
      </c>
      <c r="C18" s="17">
        <v>0</v>
      </c>
      <c r="D18" s="17">
        <v>19033</v>
      </c>
      <c r="E18" s="17">
        <v>19033</v>
      </c>
      <c r="F18" s="17">
        <v>16736</v>
      </c>
      <c r="G18" s="18">
        <v>0.5578101419056203</v>
      </c>
    </row>
    <row r="19" spans="1:7" ht="12.75">
      <c r="A19" s="11" t="s">
        <v>101</v>
      </c>
      <c r="B19" s="17">
        <v>167645</v>
      </c>
      <c r="C19" s="17">
        <v>0</v>
      </c>
      <c r="D19" s="17">
        <v>165835</v>
      </c>
      <c r="E19" s="17">
        <v>165835</v>
      </c>
      <c r="F19" s="17">
        <v>146531</v>
      </c>
      <c r="G19" s="18">
        <v>4.883871767660877</v>
      </c>
    </row>
    <row r="20" spans="1:7" ht="12.75">
      <c r="A20" s="11" t="s">
        <v>102</v>
      </c>
      <c r="B20" s="17">
        <v>75899</v>
      </c>
      <c r="C20" s="17">
        <v>0</v>
      </c>
      <c r="D20" s="17">
        <v>75079</v>
      </c>
      <c r="E20" s="17">
        <v>75079</v>
      </c>
      <c r="F20" s="17">
        <v>66338</v>
      </c>
      <c r="G20" s="18">
        <v>2.2110426143484125</v>
      </c>
    </row>
    <row r="21" spans="1:7" ht="12.75">
      <c r="A21" s="11" t="s">
        <v>103</v>
      </c>
      <c r="B21" s="17">
        <v>53795</v>
      </c>
      <c r="C21" s="17">
        <v>0</v>
      </c>
      <c r="D21" s="17">
        <v>53214</v>
      </c>
      <c r="E21" s="17">
        <v>53214</v>
      </c>
      <c r="F21" s="17">
        <v>47020</v>
      </c>
      <c r="G21" s="18">
        <v>1.5671745263146668</v>
      </c>
    </row>
    <row r="22" spans="1:7" ht="12.75">
      <c r="A22" s="11" t="s">
        <v>104</v>
      </c>
      <c r="B22" s="17">
        <v>30709</v>
      </c>
      <c r="C22" s="17">
        <v>0</v>
      </c>
      <c r="D22" s="17">
        <v>31811</v>
      </c>
      <c r="E22" s="17">
        <v>31811</v>
      </c>
      <c r="F22" s="17">
        <v>28419</v>
      </c>
      <c r="G22" s="18">
        <v>0.9472040166596452</v>
      </c>
    </row>
    <row r="23" spans="1:7" ht="12.75">
      <c r="A23" s="11" t="s">
        <v>105</v>
      </c>
      <c r="B23" s="17">
        <v>44955</v>
      </c>
      <c r="C23" s="17">
        <v>0</v>
      </c>
      <c r="D23" s="17">
        <v>46610</v>
      </c>
      <c r="E23" s="17">
        <v>46610</v>
      </c>
      <c r="F23" s="17">
        <v>41285</v>
      </c>
      <c r="G23" s="18">
        <v>1.3760272292407703</v>
      </c>
    </row>
    <row r="24" spans="1:7" ht="12.75">
      <c r="A24" s="11" t="s">
        <v>106</v>
      </c>
      <c r="B24" s="17">
        <v>38428</v>
      </c>
      <c r="C24" s="17">
        <v>0</v>
      </c>
      <c r="D24" s="17">
        <v>42168</v>
      </c>
      <c r="E24" s="17">
        <v>42168</v>
      </c>
      <c r="F24" s="17">
        <v>38088</v>
      </c>
      <c r="G24" s="18">
        <v>1.2694713602354961</v>
      </c>
    </row>
    <row r="25" spans="1:7" ht="12.75">
      <c r="A25" s="11" t="s">
        <v>107</v>
      </c>
      <c r="B25" s="17">
        <v>37805</v>
      </c>
      <c r="C25" s="17">
        <v>0</v>
      </c>
      <c r="D25" s="17">
        <v>37397</v>
      </c>
      <c r="E25" s="17">
        <v>37397</v>
      </c>
      <c r="F25" s="17">
        <v>33044</v>
      </c>
      <c r="G25" s="18">
        <v>1.101355062686981</v>
      </c>
    </row>
    <row r="26" spans="1:7" ht="12.75">
      <c r="A26" s="11" t="s">
        <v>108</v>
      </c>
      <c r="B26" s="17">
        <v>68923</v>
      </c>
      <c r="C26" s="17">
        <v>0</v>
      </c>
      <c r="D26" s="17">
        <v>72134</v>
      </c>
      <c r="E26" s="17">
        <v>72134</v>
      </c>
      <c r="F26" s="17">
        <v>65486</v>
      </c>
      <c r="G26" s="18">
        <v>2.182645491923485</v>
      </c>
    </row>
    <row r="27" spans="1:7" ht="12.75">
      <c r="A27" s="11" t="s">
        <v>109</v>
      </c>
      <c r="B27" s="17">
        <v>146392</v>
      </c>
      <c r="C27" s="17">
        <v>0</v>
      </c>
      <c r="D27" s="17">
        <v>148335</v>
      </c>
      <c r="E27" s="17">
        <v>148335</v>
      </c>
      <c r="F27" s="17">
        <v>131888</v>
      </c>
      <c r="G27" s="18">
        <v>4.395821223449357</v>
      </c>
    </row>
    <row r="28" spans="1:7" ht="12.75">
      <c r="A28" s="11" t="s">
        <v>110</v>
      </c>
      <c r="B28" s="17">
        <v>161217</v>
      </c>
      <c r="C28" s="17">
        <v>0</v>
      </c>
      <c r="D28" s="17">
        <v>156609</v>
      </c>
      <c r="E28" s="17">
        <v>156609</v>
      </c>
      <c r="F28" s="17">
        <v>138320</v>
      </c>
      <c r="G28" s="18">
        <v>4.610199499784022</v>
      </c>
    </row>
    <row r="29" spans="1:7" ht="12.75">
      <c r="A29" s="11" t="s">
        <v>111</v>
      </c>
      <c r="B29" s="17">
        <v>114669</v>
      </c>
      <c r="C29" s="17">
        <v>0</v>
      </c>
      <c r="D29" s="17">
        <v>113431</v>
      </c>
      <c r="E29" s="17">
        <v>113431</v>
      </c>
      <c r="F29" s="17">
        <v>100227</v>
      </c>
      <c r="G29" s="18">
        <v>3.3405614897690366</v>
      </c>
    </row>
    <row r="30" spans="1:7" ht="12.75">
      <c r="A30" s="11" t="s">
        <v>112</v>
      </c>
      <c r="B30" s="17">
        <v>26973</v>
      </c>
      <c r="C30" s="17">
        <v>0</v>
      </c>
      <c r="D30" s="17">
        <v>28937</v>
      </c>
      <c r="E30" s="17">
        <v>28937</v>
      </c>
      <c r="F30" s="17">
        <v>25985</v>
      </c>
      <c r="G30" s="18">
        <v>0.8660789040043942</v>
      </c>
    </row>
    <row r="31" spans="1:7" ht="12.75">
      <c r="A31" s="11" t="s">
        <v>113</v>
      </c>
      <c r="B31" s="17">
        <v>73872</v>
      </c>
      <c r="C31" s="17">
        <v>0</v>
      </c>
      <c r="D31" s="17">
        <v>73121</v>
      </c>
      <c r="E31" s="17">
        <v>73121</v>
      </c>
      <c r="F31" s="17">
        <v>64215</v>
      </c>
      <c r="G31" s="18">
        <v>2.1402831179773782</v>
      </c>
    </row>
    <row r="32" spans="1:7" ht="12.75">
      <c r="A32" s="11" t="s">
        <v>114</v>
      </c>
      <c r="B32" s="17">
        <v>19367</v>
      </c>
      <c r="C32" s="17">
        <v>0</v>
      </c>
      <c r="D32" s="17">
        <v>19361</v>
      </c>
      <c r="E32" s="17">
        <v>19361</v>
      </c>
      <c r="F32" s="17">
        <v>17025</v>
      </c>
      <c r="G32" s="18">
        <v>0.5674424991600852</v>
      </c>
    </row>
    <row r="33" spans="1:7" ht="12.75">
      <c r="A33" s="11" t="s">
        <v>115</v>
      </c>
      <c r="B33" s="17">
        <v>29374</v>
      </c>
      <c r="C33" s="17">
        <v>0</v>
      </c>
      <c r="D33" s="17">
        <v>29366</v>
      </c>
      <c r="E33" s="17">
        <v>29366</v>
      </c>
      <c r="F33" s="17">
        <v>25820</v>
      </c>
      <c r="G33" s="18">
        <v>0.8605794612812568</v>
      </c>
    </row>
    <row r="34" spans="1:7" ht="12.75">
      <c r="A34" s="11" t="s">
        <v>116</v>
      </c>
      <c r="B34" s="17">
        <v>10145</v>
      </c>
      <c r="C34" s="17">
        <v>0</v>
      </c>
      <c r="D34" s="17">
        <v>9861</v>
      </c>
      <c r="E34" s="17">
        <v>9861</v>
      </c>
      <c r="F34" s="17">
        <v>8462</v>
      </c>
      <c r="G34" s="18">
        <v>0.28203808680720355</v>
      </c>
    </row>
    <row r="35" spans="1:7" ht="12.75">
      <c r="A35" s="11" t="s">
        <v>117</v>
      </c>
      <c r="B35" s="17">
        <v>25784</v>
      </c>
      <c r="C35" s="17">
        <v>0</v>
      </c>
      <c r="D35" s="17">
        <v>26339</v>
      </c>
      <c r="E35" s="17">
        <v>26339</v>
      </c>
      <c r="F35" s="17">
        <v>23260</v>
      </c>
      <c r="G35" s="18">
        <v>0.7752547741828828</v>
      </c>
    </row>
    <row r="36" spans="1:7" ht="12.75">
      <c r="A36" s="11" t="s">
        <v>118</v>
      </c>
      <c r="B36" s="17">
        <v>126754</v>
      </c>
      <c r="C36" s="17">
        <v>0</v>
      </c>
      <c r="D36" s="17">
        <v>126802</v>
      </c>
      <c r="E36" s="17">
        <v>126802</v>
      </c>
      <c r="F36" s="17">
        <v>111752</v>
      </c>
      <c r="G36" s="18">
        <v>3.724689231491209</v>
      </c>
    </row>
    <row r="37" spans="1:7" ht="12.75">
      <c r="A37" s="11" t="s">
        <v>119</v>
      </c>
      <c r="B37" s="17">
        <v>16941</v>
      </c>
      <c r="C37" s="17">
        <v>0</v>
      </c>
      <c r="D37" s="17">
        <v>17757</v>
      </c>
      <c r="E37" s="17">
        <v>17757</v>
      </c>
      <c r="F37" s="17">
        <v>15815</v>
      </c>
      <c r="G37" s="18">
        <v>0.5271132525237443</v>
      </c>
    </row>
    <row r="38" spans="1:7" ht="12.75">
      <c r="A38" s="11" t="s">
        <v>120</v>
      </c>
      <c r="B38" s="17">
        <v>381779</v>
      </c>
      <c r="C38" s="17">
        <v>0</v>
      </c>
      <c r="D38" s="17">
        <v>363093</v>
      </c>
      <c r="E38" s="17">
        <v>363093</v>
      </c>
      <c r="F38" s="17">
        <v>320824</v>
      </c>
      <c r="G38" s="18">
        <v>10.693049770956543</v>
      </c>
    </row>
    <row r="39" spans="1:7" ht="12.75">
      <c r="A39" s="11" t="s">
        <v>121</v>
      </c>
      <c r="B39" s="17">
        <v>85046</v>
      </c>
      <c r="C39" s="17">
        <v>0</v>
      </c>
      <c r="D39" s="17">
        <v>84926</v>
      </c>
      <c r="E39" s="17">
        <v>84926</v>
      </c>
      <c r="F39" s="17">
        <v>77197</v>
      </c>
      <c r="G39" s="18">
        <v>2.5729726054426485</v>
      </c>
    </row>
    <row r="40" spans="1:7" ht="12.75">
      <c r="A40" s="11" t="s">
        <v>122</v>
      </c>
      <c r="B40" s="17">
        <v>19376</v>
      </c>
      <c r="C40" s="17">
        <v>0</v>
      </c>
      <c r="D40" s="17">
        <v>19370</v>
      </c>
      <c r="E40" s="17">
        <v>19370</v>
      </c>
      <c r="F40" s="17">
        <v>17033</v>
      </c>
      <c r="G40" s="18">
        <v>0.5677091388072675</v>
      </c>
    </row>
    <row r="41" spans="1:7" ht="12.75">
      <c r="A41" s="11" t="s">
        <v>123</v>
      </c>
      <c r="B41" s="17">
        <v>148308</v>
      </c>
      <c r="C41" s="17">
        <v>0</v>
      </c>
      <c r="D41" s="17">
        <v>146706</v>
      </c>
      <c r="E41" s="17">
        <v>146706</v>
      </c>
      <c r="F41" s="17">
        <v>129628</v>
      </c>
      <c r="G41" s="18">
        <v>4.320495523120324</v>
      </c>
    </row>
    <row r="42" spans="1:7" ht="12.75">
      <c r="A42" s="11" t="s">
        <v>124</v>
      </c>
      <c r="B42" s="17">
        <v>32020</v>
      </c>
      <c r="C42" s="17">
        <v>0</v>
      </c>
      <c r="D42" s="17">
        <v>32338</v>
      </c>
      <c r="E42" s="17">
        <v>32338</v>
      </c>
      <c r="F42" s="17">
        <v>29419</v>
      </c>
      <c r="G42" s="18">
        <v>0.9805339725574476</v>
      </c>
    </row>
    <row r="43" spans="1:7" ht="12.75">
      <c r="A43" s="11" t="s">
        <v>125</v>
      </c>
      <c r="B43" s="17">
        <v>35335</v>
      </c>
      <c r="C43" s="17">
        <v>0</v>
      </c>
      <c r="D43" s="17">
        <v>34950</v>
      </c>
      <c r="E43" s="17">
        <v>34950</v>
      </c>
      <c r="F43" s="17">
        <v>30835</v>
      </c>
      <c r="G43" s="18">
        <v>1.0277291901087358</v>
      </c>
    </row>
    <row r="44" spans="1:7" ht="12.75">
      <c r="A44" s="11" t="s">
        <v>126</v>
      </c>
      <c r="B44" s="17">
        <v>206649</v>
      </c>
      <c r="C44" s="17">
        <v>0</v>
      </c>
      <c r="D44" s="17">
        <v>202894</v>
      </c>
      <c r="E44" s="17">
        <v>202894</v>
      </c>
      <c r="F44" s="17">
        <v>176939</v>
      </c>
      <c r="G44" s="18">
        <v>5.897369066601251</v>
      </c>
    </row>
    <row r="45" spans="1:7" ht="12.75">
      <c r="A45" s="11" t="s">
        <v>127</v>
      </c>
      <c r="B45" s="17">
        <v>27344</v>
      </c>
      <c r="C45" s="17">
        <v>0</v>
      </c>
      <c r="D45" s="17">
        <v>25906</v>
      </c>
      <c r="E45" s="17">
        <v>25906</v>
      </c>
      <c r="F45" s="17">
        <v>23167</v>
      </c>
      <c r="G45" s="18">
        <v>0.7721550882843872</v>
      </c>
    </row>
    <row r="46" spans="1:7" ht="12.75">
      <c r="A46" s="11" t="s">
        <v>128</v>
      </c>
      <c r="B46" s="17">
        <v>35471</v>
      </c>
      <c r="C46" s="17">
        <v>0</v>
      </c>
      <c r="D46" s="17">
        <v>34480</v>
      </c>
      <c r="E46" s="17">
        <v>34480</v>
      </c>
      <c r="F46" s="17">
        <v>29588</v>
      </c>
      <c r="G46" s="18">
        <v>0.9861667351041761</v>
      </c>
    </row>
    <row r="47" spans="1:7" ht="12.75">
      <c r="A47" s="11" t="s">
        <v>129</v>
      </c>
      <c r="B47" s="17">
        <v>17395</v>
      </c>
      <c r="C47" s="17">
        <v>0</v>
      </c>
      <c r="D47" s="17">
        <v>17390</v>
      </c>
      <c r="E47" s="17">
        <v>17390</v>
      </c>
      <c r="F47" s="17">
        <v>15292</v>
      </c>
      <c r="G47" s="18">
        <v>0.5096816855891936</v>
      </c>
    </row>
    <row r="48" spans="1:7" ht="12.75">
      <c r="A48" s="11" t="s">
        <v>130</v>
      </c>
      <c r="B48" s="17">
        <v>55221</v>
      </c>
      <c r="C48" s="17">
        <v>0</v>
      </c>
      <c r="D48" s="17">
        <v>55997</v>
      </c>
      <c r="E48" s="17">
        <v>55997</v>
      </c>
      <c r="F48" s="17">
        <v>50403</v>
      </c>
      <c r="G48" s="18">
        <v>1.6799297671169322</v>
      </c>
    </row>
    <row r="49" spans="1:7" ht="12.75">
      <c r="A49" s="11" t="s">
        <v>131</v>
      </c>
      <c r="B49" s="17">
        <v>117570</v>
      </c>
      <c r="C49" s="17">
        <v>0</v>
      </c>
      <c r="D49" s="17">
        <v>114284</v>
      </c>
      <c r="E49" s="17">
        <v>114284</v>
      </c>
      <c r="F49" s="17">
        <v>98072</v>
      </c>
      <c r="G49" s="18">
        <v>3.2687354348092725</v>
      </c>
    </row>
    <row r="50" spans="1:7" ht="12.75">
      <c r="A50" s="11" t="s">
        <v>132</v>
      </c>
      <c r="B50" s="17">
        <v>23505</v>
      </c>
      <c r="C50" s="17">
        <v>0</v>
      </c>
      <c r="D50" s="17">
        <v>23498</v>
      </c>
      <c r="E50" s="17">
        <v>23498</v>
      </c>
      <c r="F50" s="17">
        <v>20662</v>
      </c>
      <c r="G50" s="18">
        <v>0.6886635487603923</v>
      </c>
    </row>
    <row r="51" spans="1:7" ht="12.75">
      <c r="A51" s="11" t="s">
        <v>133</v>
      </c>
      <c r="B51" s="17">
        <v>18991</v>
      </c>
      <c r="C51" s="17">
        <v>0</v>
      </c>
      <c r="D51" s="17">
        <v>18985</v>
      </c>
      <c r="E51" s="17">
        <v>18985</v>
      </c>
      <c r="F51" s="17">
        <v>16694</v>
      </c>
      <c r="G51" s="18">
        <v>0.5564102837579126</v>
      </c>
    </row>
    <row r="52" spans="1:7" ht="12.75">
      <c r="A52" s="11" t="s">
        <v>134</v>
      </c>
      <c r="B52" s="17">
        <v>81517</v>
      </c>
      <c r="C52" s="17">
        <v>0</v>
      </c>
      <c r="D52" s="17">
        <v>83780</v>
      </c>
      <c r="E52" s="17">
        <v>83780</v>
      </c>
      <c r="F52" s="17">
        <v>75774</v>
      </c>
      <c r="G52" s="18">
        <v>2.5255440782000758</v>
      </c>
    </row>
    <row r="53" spans="1:7" ht="12.75">
      <c r="A53" s="11" t="s">
        <v>135</v>
      </c>
      <c r="B53" s="17">
        <v>57056</v>
      </c>
      <c r="C53" s="17">
        <v>0</v>
      </c>
      <c r="D53" s="17">
        <v>56440</v>
      </c>
      <c r="E53" s="17">
        <v>56440</v>
      </c>
      <c r="F53" s="17">
        <v>49869</v>
      </c>
      <c r="G53" s="18">
        <v>1.6621315706675057</v>
      </c>
    </row>
    <row r="54" spans="1:7" ht="12.75">
      <c r="A54" s="11" t="s">
        <v>136</v>
      </c>
      <c r="B54" s="17">
        <v>28881</v>
      </c>
      <c r="C54" s="17">
        <v>0</v>
      </c>
      <c r="D54" s="17">
        <v>28872</v>
      </c>
      <c r="E54" s="17">
        <v>28872</v>
      </c>
      <c r="F54" s="17">
        <v>25388</v>
      </c>
      <c r="G54" s="18">
        <v>0.8461809203334062</v>
      </c>
    </row>
    <row r="55" spans="1:7" ht="12.75">
      <c r="A55" s="11" t="s">
        <v>137</v>
      </c>
      <c r="B55" s="17">
        <v>103219</v>
      </c>
      <c r="C55" s="17">
        <v>0</v>
      </c>
      <c r="D55" s="17">
        <v>102104</v>
      </c>
      <c r="E55" s="17">
        <v>102104</v>
      </c>
      <c r="F55" s="17">
        <v>90218</v>
      </c>
      <c r="G55" s="18">
        <v>3.006961961187933</v>
      </c>
    </row>
    <row r="56" spans="1:7" ht="12.75">
      <c r="A56" s="11" t="s">
        <v>138</v>
      </c>
      <c r="B56" s="17">
        <v>9230</v>
      </c>
      <c r="C56" s="17">
        <v>0</v>
      </c>
      <c r="D56" s="17">
        <v>9227</v>
      </c>
      <c r="E56" s="17">
        <v>9227</v>
      </c>
      <c r="F56" s="17">
        <v>8114</v>
      </c>
      <c r="G56" s="18">
        <v>0.2704392621547683</v>
      </c>
    </row>
    <row r="57" spans="1:7" ht="12.75">
      <c r="A57" s="11" t="s">
        <v>139</v>
      </c>
      <c r="B57" s="17">
        <v>281</v>
      </c>
      <c r="C57" s="17">
        <v>0</v>
      </c>
      <c r="D57" s="17">
        <v>278</v>
      </c>
      <c r="E57" s="17">
        <v>278</v>
      </c>
      <c r="F57" s="17">
        <v>246</v>
      </c>
      <c r="G57" s="18">
        <v>0.00819916915085938</v>
      </c>
    </row>
    <row r="58" spans="1:7" ht="12.75">
      <c r="A58" s="11" t="s">
        <v>140</v>
      </c>
      <c r="B58" s="17">
        <v>615</v>
      </c>
      <c r="C58" s="17">
        <v>0</v>
      </c>
      <c r="D58" s="17">
        <v>609</v>
      </c>
      <c r="E58" s="17">
        <v>609</v>
      </c>
      <c r="F58" s="17">
        <v>539</v>
      </c>
      <c r="G58" s="18">
        <v>0.01796484622891547</v>
      </c>
    </row>
    <row r="59" spans="1:7" ht="12.75">
      <c r="A59" s="11" t="s">
        <v>141</v>
      </c>
      <c r="B59" s="17">
        <v>214</v>
      </c>
      <c r="C59" s="17">
        <v>0</v>
      </c>
      <c r="D59" s="17">
        <v>212</v>
      </c>
      <c r="E59" s="17">
        <v>212</v>
      </c>
      <c r="F59" s="17">
        <v>187</v>
      </c>
      <c r="G59" s="18">
        <v>0.00623270175288904</v>
      </c>
    </row>
    <row r="60" spans="1:7" ht="12.75">
      <c r="A60" s="11" t="s">
        <v>142</v>
      </c>
      <c r="B60" s="17">
        <v>15267</v>
      </c>
      <c r="C60" s="17">
        <v>0</v>
      </c>
      <c r="D60" s="17">
        <v>15126</v>
      </c>
      <c r="E60" s="17">
        <v>15126</v>
      </c>
      <c r="F60" s="17">
        <v>13371</v>
      </c>
      <c r="G60" s="18">
        <v>0.4456548403095153</v>
      </c>
    </row>
    <row r="61" spans="1:7" ht="12.75">
      <c r="A61" s="11" t="s">
        <v>143</v>
      </c>
      <c r="B61" s="17">
        <v>0</v>
      </c>
      <c r="C61" s="17">
        <v>0</v>
      </c>
      <c r="D61" s="17">
        <v>0</v>
      </c>
      <c r="E61" s="17">
        <v>0</v>
      </c>
      <c r="F61" s="17">
        <v>0</v>
      </c>
      <c r="G61" s="18">
        <v>0</v>
      </c>
    </row>
    <row r="62" spans="1:7" ht="12.75">
      <c r="A62" s="11" t="s">
        <v>144</v>
      </c>
      <c r="B62" s="17">
        <v>582</v>
      </c>
      <c r="C62" s="17">
        <v>0</v>
      </c>
      <c r="D62" s="17">
        <v>576</v>
      </c>
      <c r="E62" s="17">
        <v>576</v>
      </c>
      <c r="F62" s="17">
        <v>509</v>
      </c>
      <c r="G62" s="18">
        <v>0.0169649475519814</v>
      </c>
    </row>
    <row r="63" spans="1:7" ht="12.75">
      <c r="A63" s="11" t="s">
        <v>145</v>
      </c>
      <c r="B63" s="17">
        <v>36808</v>
      </c>
      <c r="C63" s="17">
        <v>0</v>
      </c>
      <c r="D63" s="17">
        <v>36897</v>
      </c>
      <c r="E63" s="17">
        <v>36897</v>
      </c>
      <c r="F63" s="17">
        <v>32784</v>
      </c>
      <c r="G63" s="18">
        <v>1.0926892741535525</v>
      </c>
    </row>
    <row r="64" spans="1:7" ht="12.75">
      <c r="A64" s="11" t="s">
        <v>146</v>
      </c>
      <c r="B64" s="17">
        <v>0</v>
      </c>
      <c r="C64" s="17">
        <v>0</v>
      </c>
      <c r="D64" s="17">
        <v>0</v>
      </c>
      <c r="E64" s="17">
        <v>0</v>
      </c>
      <c r="F64" s="17">
        <v>0</v>
      </c>
      <c r="G64" s="18">
        <v>0</v>
      </c>
    </row>
    <row r="65" spans="1:7" ht="12.75">
      <c r="A65" s="11" t="s">
        <v>189</v>
      </c>
      <c r="B65" s="17">
        <v>2988</v>
      </c>
      <c r="C65" s="17">
        <v>0</v>
      </c>
      <c r="D65" s="17">
        <v>2988</v>
      </c>
      <c r="E65" s="17">
        <v>2988</v>
      </c>
      <c r="F65" s="17">
        <v>3000</v>
      </c>
      <c r="G65" s="18">
        <v>0.09998986769340706</v>
      </c>
    </row>
    <row r="66" spans="1:7" ht="15">
      <c r="A66" s="11" t="s">
        <v>415</v>
      </c>
      <c r="B66" s="17">
        <v>0</v>
      </c>
      <c r="C66" s="17">
        <v>0</v>
      </c>
      <c r="D66" s="17">
        <v>27000</v>
      </c>
      <c r="E66" s="17">
        <v>27000</v>
      </c>
      <c r="F66" s="17">
        <v>27000</v>
      </c>
      <c r="G66" s="18">
        <v>0.8999088092406636</v>
      </c>
    </row>
    <row r="67" spans="1:7" ht="15" customHeight="1">
      <c r="A67" s="19" t="s">
        <v>87</v>
      </c>
      <c r="B67" s="20" t="s">
        <v>410</v>
      </c>
      <c r="C67" s="20">
        <f>0+0+0+0+0+0+0+0+0+0+0+0+0+0+0+0+0+0+0+0+0+0+0+0+0+0+0+0+0+0+0+0+0+0+0+0+0+0+0+0+0+0+0+0+0+0+0+0+0+0+0+0+0+0+0+0+0+0+0+0+0+0+0+0+0+0</f>
        <v>0</v>
      </c>
      <c r="D67" s="20">
        <f>43156+10222+20041+27809+176127+48882+80533+12553+10389+68683+54313+5470+19033+165835+75079+53214+31811+46610+42168+37397+72134+148335+156609+113431+28937+73121+19361+29366+9861+26339+126802+17757+363093+84926+19370+146706+32338+34950+202894+25906+34480+17390+55997+114284+23498+18985+83780+56440+28872+102104+9227+278+609+212+15126+0+576+36897+0+0+0+0+2988+27000+0+0</f>
        <v>3390304</v>
      </c>
      <c r="E67" s="20" t="s">
        <v>412</v>
      </c>
      <c r="F67" s="20" t="s">
        <v>413</v>
      </c>
      <c r="G67" s="21" t="s">
        <v>343</v>
      </c>
    </row>
    <row r="68" spans="1:7" ht="15" customHeight="1">
      <c r="A68" s="33" t="s">
        <v>148</v>
      </c>
      <c r="B68" s="33"/>
      <c r="C68" s="33"/>
      <c r="D68" s="33"/>
      <c r="E68" s="33"/>
      <c r="F68" s="33"/>
      <c r="G68" s="33"/>
    </row>
    <row r="69" spans="1:7" ht="15" customHeight="1">
      <c r="A69" s="34" t="s">
        <v>411</v>
      </c>
      <c r="B69" s="34"/>
      <c r="C69" s="34"/>
      <c r="D69" s="34"/>
      <c r="E69" s="34"/>
      <c r="F69" s="34"/>
      <c r="G69" s="34"/>
    </row>
    <row r="70" spans="1:7" ht="41.25" customHeight="1">
      <c r="A70" s="34" t="s">
        <v>414</v>
      </c>
      <c r="B70" s="34"/>
      <c r="C70" s="34"/>
      <c r="D70" s="34"/>
      <c r="E70" s="34"/>
      <c r="F70" s="34"/>
      <c r="G70" s="34"/>
    </row>
    <row r="71" spans="1:7" ht="34.5" customHeight="1">
      <c r="A71" s="34" t="s">
        <v>416</v>
      </c>
      <c r="B71" s="34"/>
      <c r="C71" s="34"/>
      <c r="D71" s="34"/>
      <c r="E71" s="34"/>
      <c r="F71" s="34"/>
      <c r="G71" s="34"/>
    </row>
    <row r="72" spans="1:7" ht="15" customHeight="1">
      <c r="A72" s="26" t="s">
        <v>347</v>
      </c>
      <c r="B72" s="26"/>
      <c r="C72" s="26"/>
      <c r="D72" s="26"/>
      <c r="E72" s="26"/>
      <c r="F72" s="26"/>
      <c r="G72" s="26"/>
    </row>
  </sheetData>
  <sheetProtection/>
  <mergeCells count="9">
    <mergeCell ref="A70:G70"/>
    <mergeCell ref="A71:G71"/>
    <mergeCell ref="A72:G72"/>
    <mergeCell ref="A4:A5"/>
    <mergeCell ref="B4:B5"/>
    <mergeCell ref="F4:F5"/>
    <mergeCell ref="G4:G5"/>
    <mergeCell ref="A68:G68"/>
    <mergeCell ref="A69:G69"/>
  </mergeCells>
  <printOptions/>
  <pageMargins left="0.7" right="0.7" top="0.75" bottom="0.75" header="0.3" footer="0.3"/>
  <pageSetup fitToHeight="1" fitToWidth="1"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G70"/>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183</v>
      </c>
      <c r="B1" s="10"/>
      <c r="C1" s="10"/>
      <c r="D1" s="10"/>
      <c r="E1" s="10"/>
      <c r="F1" s="10"/>
      <c r="G1" s="12" t="s">
        <v>196</v>
      </c>
    </row>
    <row r="2" spans="1:7" ht="12.75">
      <c r="A2" s="13" t="s">
        <v>197</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44500</v>
      </c>
      <c r="C6" s="17">
        <v>0</v>
      </c>
      <c r="D6" s="17">
        <v>50658</v>
      </c>
      <c r="E6" s="17">
        <v>50658</v>
      </c>
      <c r="F6" s="17">
        <v>53618</v>
      </c>
      <c r="G6" s="18">
        <f>IF(AND(F68&lt;&gt;0,53618&lt;&gt;0),IF(100*53618/(F68-0)&lt;0.005,"*",100*53618/(F68-0)),0)</f>
        <v>1.8103962896634063</v>
      </c>
    </row>
    <row r="7" spans="1:7" ht="12.75">
      <c r="A7" s="11" t="s">
        <v>89</v>
      </c>
      <c r="B7" s="17">
        <v>4601</v>
      </c>
      <c r="C7" s="17">
        <v>0</v>
      </c>
      <c r="D7" s="17">
        <v>5238</v>
      </c>
      <c r="E7" s="17">
        <v>5238</v>
      </c>
      <c r="F7" s="17">
        <v>5544</v>
      </c>
      <c r="G7" s="18">
        <f>IF(AND(F68&lt;&gt;0,5544&lt;&gt;0),IF(100*5544/(F68-0)&lt;0.005,"*",100*5544/(F68-0)),0)</f>
        <v>0.18719155936241422</v>
      </c>
    </row>
    <row r="8" spans="1:7" ht="12.75">
      <c r="A8" s="11" t="s">
        <v>90</v>
      </c>
      <c r="B8" s="17">
        <v>60032</v>
      </c>
      <c r="C8" s="17">
        <v>0</v>
      </c>
      <c r="D8" s="17">
        <v>68339</v>
      </c>
      <c r="E8" s="17">
        <v>68339</v>
      </c>
      <c r="F8" s="17">
        <v>72333</v>
      </c>
      <c r="G8" s="18">
        <f>IF(AND(F68&lt;&gt;0,72333&lt;&gt;0),IF(100*72333/(F68-0)&lt;0.005,"*",100*72333/(F68-0)),0)</f>
        <v>2.4423028613566933</v>
      </c>
    </row>
    <row r="9" spans="1:7" ht="12.75">
      <c r="A9" s="11" t="s">
        <v>91</v>
      </c>
      <c r="B9" s="17">
        <v>28731</v>
      </c>
      <c r="C9" s="17">
        <v>0</v>
      </c>
      <c r="D9" s="17">
        <v>32707</v>
      </c>
      <c r="E9" s="17">
        <v>32707</v>
      </c>
      <c r="F9" s="17">
        <v>34619</v>
      </c>
      <c r="G9" s="18">
        <f>IF(AND(F68&lt;&gt;0,34619&lt;&gt;0),IF(100*34619/(F68-0)&lt;0.005,"*",100*34619/(F68-0)),0)</f>
        <v>1.1689005399652628</v>
      </c>
    </row>
    <row r="10" spans="1:7" ht="12.75">
      <c r="A10" s="11" t="s">
        <v>92</v>
      </c>
      <c r="B10" s="17">
        <v>266922</v>
      </c>
      <c r="C10" s="17">
        <v>0</v>
      </c>
      <c r="D10" s="17">
        <v>303856</v>
      </c>
      <c r="E10" s="17">
        <v>303856</v>
      </c>
      <c r="F10" s="17">
        <v>321617</v>
      </c>
      <c r="G10" s="18">
        <f>IF(AND(F68&lt;&gt;0,321617&lt;&gt;0),IF(100*321617/(F68-0)&lt;0.005,"*",100*321617/(F68-0)),0)</f>
        <v>10.85930514925353</v>
      </c>
    </row>
    <row r="11" spans="1:7" ht="12.75">
      <c r="A11" s="11" t="s">
        <v>93</v>
      </c>
      <c r="B11" s="17">
        <v>30467</v>
      </c>
      <c r="C11" s="17">
        <v>0</v>
      </c>
      <c r="D11" s="17">
        <v>34683</v>
      </c>
      <c r="E11" s="17">
        <v>34683</v>
      </c>
      <c r="F11" s="17">
        <v>36710</v>
      </c>
      <c r="G11" s="18">
        <f>IF(AND(F68&lt;&gt;0,36710&lt;&gt;0),IF(100*36710/(F68-0)&lt;0.005,"*",100*36710/(F68-0)),0)</f>
        <v>1.2395025512615847</v>
      </c>
    </row>
    <row r="12" spans="1:7" ht="12.75">
      <c r="A12" s="11" t="s">
        <v>94</v>
      </c>
      <c r="B12" s="17">
        <v>15247</v>
      </c>
      <c r="C12" s="17">
        <v>0</v>
      </c>
      <c r="D12" s="17">
        <v>17357</v>
      </c>
      <c r="E12" s="17">
        <v>17357</v>
      </c>
      <c r="F12" s="17">
        <v>18371</v>
      </c>
      <c r="G12" s="18">
        <f>IF(AND(F68&lt;&gt;0,18371&lt;&gt;0),IF(100*18371/(F68-0)&lt;0.005,"*",100*18371/(F68-0)),0)</f>
        <v>0.6202915110113476</v>
      </c>
    </row>
    <row r="13" spans="1:7" ht="12.75">
      <c r="A13" s="11" t="s">
        <v>95</v>
      </c>
      <c r="B13" s="17">
        <v>6255</v>
      </c>
      <c r="C13" s="17">
        <v>0</v>
      </c>
      <c r="D13" s="17">
        <v>7120</v>
      </c>
      <c r="E13" s="17">
        <v>7120</v>
      </c>
      <c r="F13" s="17">
        <v>7536</v>
      </c>
      <c r="G13" s="18">
        <f>IF(AND(F68&lt;&gt;0,7536&lt;&gt;0),IF(100*7536/(F68-0)&lt;0.005,"*",100*7536/(F68-0)),0)</f>
        <v>0.25445086424155006</v>
      </c>
    </row>
    <row r="14" spans="1:7" ht="12.75">
      <c r="A14" s="11" t="s">
        <v>96</v>
      </c>
      <c r="B14" s="17">
        <v>3731</v>
      </c>
      <c r="C14" s="17">
        <v>0</v>
      </c>
      <c r="D14" s="17">
        <v>4248</v>
      </c>
      <c r="E14" s="17">
        <v>4248</v>
      </c>
      <c r="F14" s="17">
        <v>4496</v>
      </c>
      <c r="G14" s="18">
        <f>IF(AND(F68&lt;&gt;0,4496&lt;&gt;0),IF(100*4496/(F68-0)&lt;0.005,"*",100*4496/(F68-0)),0)</f>
        <v>0.15180614193604153</v>
      </c>
    </row>
    <row r="15" spans="1:7" ht="12.75">
      <c r="A15" s="11" t="s">
        <v>97</v>
      </c>
      <c r="B15" s="17">
        <v>137847</v>
      </c>
      <c r="C15" s="17">
        <v>0</v>
      </c>
      <c r="D15" s="17">
        <v>156921</v>
      </c>
      <c r="E15" s="17">
        <v>156921</v>
      </c>
      <c r="F15" s="17">
        <v>166092</v>
      </c>
      <c r="G15" s="18">
        <f>IF(AND(F68&lt;&gt;0,166092&lt;&gt;0),IF(100*166092/(F68-0)&lt;0.005,"*",100*166092/(F68-0)),0)</f>
        <v>5.608048426699513</v>
      </c>
    </row>
    <row r="16" spans="1:7" ht="12.75">
      <c r="A16" s="11" t="s">
        <v>98</v>
      </c>
      <c r="B16" s="17">
        <v>99521</v>
      </c>
      <c r="C16" s="17">
        <v>0</v>
      </c>
      <c r="D16" s="17">
        <v>113292</v>
      </c>
      <c r="E16" s="17">
        <v>113292</v>
      </c>
      <c r="F16" s="17">
        <v>119914</v>
      </c>
      <c r="G16" s="18">
        <f>IF(AND(F68&lt;&gt;0,119914&lt;&gt;0),IF(100*119914/(F68-0)&lt;0.005,"*",100*119914/(F68-0)),0)</f>
        <v>4.048861588994325</v>
      </c>
    </row>
    <row r="17" spans="1:7" ht="12.75">
      <c r="A17" s="11" t="s">
        <v>99</v>
      </c>
      <c r="B17" s="17">
        <v>8630</v>
      </c>
      <c r="C17" s="17">
        <v>0</v>
      </c>
      <c r="D17" s="17">
        <v>9825</v>
      </c>
      <c r="E17" s="17">
        <v>9825</v>
      </c>
      <c r="F17" s="17">
        <v>10399</v>
      </c>
      <c r="G17" s="18">
        <f>IF(AND(F68&lt;&gt;0,10399&lt;&gt;0),IF(100*10399/(F68-0)&lt;0.005,"*",100*10399/(F68-0)),0)</f>
        <v>0.35111923264966544</v>
      </c>
    </row>
    <row r="18" spans="1:7" ht="12.75">
      <c r="A18" s="11" t="s">
        <v>100</v>
      </c>
      <c r="B18" s="17">
        <v>14350</v>
      </c>
      <c r="C18" s="17">
        <v>0</v>
      </c>
      <c r="D18" s="17">
        <v>16336</v>
      </c>
      <c r="E18" s="17">
        <v>16336</v>
      </c>
      <c r="F18" s="17">
        <v>17290</v>
      </c>
      <c r="G18" s="18">
        <f>IF(AND(F68&lt;&gt;0,17290&lt;&gt;0),IF(100*17290/(F68-0)&lt;0.005,"*",100*17290/(F68-0)),0)</f>
        <v>0.5837918581125796</v>
      </c>
    </row>
    <row r="19" spans="1:7" ht="12.75">
      <c r="A19" s="11" t="s">
        <v>101</v>
      </c>
      <c r="B19" s="17">
        <v>84588</v>
      </c>
      <c r="C19" s="17">
        <v>0</v>
      </c>
      <c r="D19" s="17">
        <v>96292</v>
      </c>
      <c r="E19" s="17">
        <v>96292</v>
      </c>
      <c r="F19" s="17">
        <v>101920</v>
      </c>
      <c r="G19" s="18">
        <f>IF(AND(F68&lt;&gt;0,101920&lt;&gt;0),IF(100*101920/(F68-0)&lt;0.005,"*",100*101920/(F68-0)),0)</f>
        <v>3.4412993741373117</v>
      </c>
    </row>
    <row r="20" spans="1:7" ht="12.75">
      <c r="A20" s="11" t="s">
        <v>102</v>
      </c>
      <c r="B20" s="17">
        <v>55540</v>
      </c>
      <c r="C20" s="17">
        <v>0</v>
      </c>
      <c r="D20" s="17">
        <v>63225</v>
      </c>
      <c r="E20" s="17">
        <v>63225</v>
      </c>
      <c r="F20" s="17">
        <v>66920</v>
      </c>
      <c r="G20" s="18">
        <f>IF(AND(F68&lt;&gt;0,66920&lt;&gt;0),IF(100*66920/(F68-0)&lt;0.005,"*",100*66920/(F68-0)),0)</f>
        <v>2.2595344791725753</v>
      </c>
    </row>
    <row r="21" spans="1:7" ht="12.75">
      <c r="A21" s="11" t="s">
        <v>103</v>
      </c>
      <c r="B21" s="17">
        <v>20619</v>
      </c>
      <c r="C21" s="17">
        <v>0</v>
      </c>
      <c r="D21" s="17">
        <v>23472</v>
      </c>
      <c r="E21" s="17">
        <v>23472</v>
      </c>
      <c r="F21" s="17">
        <v>24844</v>
      </c>
      <c r="G21" s="18">
        <f>IF(AND(F68&lt;&gt;0,24844&lt;&gt;0),IF(100*24844/(F68-0)&lt;0.005,"*",100*24844/(F68-0)),0)</f>
        <v>0.8388504871572544</v>
      </c>
    </row>
    <row r="22" spans="1:7" ht="12.75">
      <c r="A22" s="11" t="s">
        <v>104</v>
      </c>
      <c r="B22" s="17">
        <v>22323</v>
      </c>
      <c r="C22" s="17">
        <v>0</v>
      </c>
      <c r="D22" s="17">
        <v>25412</v>
      </c>
      <c r="E22" s="17">
        <v>25412</v>
      </c>
      <c r="F22" s="17">
        <v>26897</v>
      </c>
      <c r="G22" s="18">
        <f>IF(AND(F68&lt;&gt;0,26897&lt;&gt;0),IF(100*26897/(F68-0)&lt;0.005,"*",100*26897/(F68-0)),0)</f>
        <v>0.9081694394247574</v>
      </c>
    </row>
    <row r="23" spans="1:7" ht="12.75">
      <c r="A23" s="11" t="s">
        <v>105</v>
      </c>
      <c r="B23" s="17">
        <v>41769</v>
      </c>
      <c r="C23" s="17">
        <v>0</v>
      </c>
      <c r="D23" s="17">
        <v>47549</v>
      </c>
      <c r="E23" s="17">
        <v>47549</v>
      </c>
      <c r="F23" s="17">
        <v>50328</v>
      </c>
      <c r="G23" s="18">
        <f>IF(AND(F68&lt;&gt;0,50328&lt;&gt;0),IF(100*50328/(F68-0)&lt;0.005,"*",100*50328/(F68-0)),0)</f>
        <v>1.6993103895367212</v>
      </c>
    </row>
    <row r="24" spans="1:7" ht="12.75">
      <c r="A24" s="11" t="s">
        <v>106</v>
      </c>
      <c r="B24" s="17">
        <v>42435</v>
      </c>
      <c r="C24" s="17">
        <v>0</v>
      </c>
      <c r="D24" s="17">
        <v>48307</v>
      </c>
      <c r="E24" s="17">
        <v>48307</v>
      </c>
      <c r="F24" s="17">
        <v>51131</v>
      </c>
      <c r="G24" s="18">
        <f>IF(AND(F68&lt;&gt;0,51131&lt;&gt;0),IF(100*51131/(F68-0)&lt;0.005,"*",100*51131/(F68-0)),0)</f>
        <v>1.7264234526983406</v>
      </c>
    </row>
    <row r="25" spans="1:7" ht="12.75">
      <c r="A25" s="11" t="s">
        <v>107</v>
      </c>
      <c r="B25" s="17">
        <v>7594</v>
      </c>
      <c r="C25" s="17">
        <v>0</v>
      </c>
      <c r="D25" s="17">
        <v>8645</v>
      </c>
      <c r="E25" s="17">
        <v>8645</v>
      </c>
      <c r="F25" s="17">
        <v>9150</v>
      </c>
      <c r="G25" s="18">
        <f>IF(AND(F68&lt;&gt;0,9150&lt;&gt;0),IF(100*9150/(F68-0)&lt;0.005,"*",100*9150/(F68-0)),0)</f>
        <v>0.3089471082550667</v>
      </c>
    </row>
    <row r="26" spans="1:7" ht="12.75">
      <c r="A26" s="11" t="s">
        <v>108</v>
      </c>
      <c r="B26" s="17">
        <v>29255</v>
      </c>
      <c r="C26" s="17">
        <v>0</v>
      </c>
      <c r="D26" s="17">
        <v>33303</v>
      </c>
      <c r="E26" s="17">
        <v>33303</v>
      </c>
      <c r="F26" s="17">
        <v>35250</v>
      </c>
      <c r="G26" s="18">
        <f>IF(AND(F68&lt;&gt;0,35250&lt;&gt;0),IF(100*35250/(F68-0)&lt;0.005,"*",100*35250/(F68-0)),0)</f>
        <v>1.1902060727859127</v>
      </c>
    </row>
    <row r="27" spans="1:7" ht="12.75">
      <c r="A27" s="11" t="s">
        <v>109</v>
      </c>
      <c r="B27" s="17">
        <v>28889</v>
      </c>
      <c r="C27" s="17">
        <v>0</v>
      </c>
      <c r="D27" s="17">
        <v>32886</v>
      </c>
      <c r="E27" s="17">
        <v>32886</v>
      </c>
      <c r="F27" s="17">
        <v>34808</v>
      </c>
      <c r="G27" s="18">
        <f>IF(AND(F68&lt;&gt;0,34808&lt;&gt;0),IF(100*34808/(F68-0)&lt;0.005,"*",100*34808/(F68-0)),0)</f>
        <v>1.1752820703980724</v>
      </c>
    </row>
    <row r="28" spans="1:7" ht="12.75">
      <c r="A28" s="11" t="s">
        <v>110</v>
      </c>
      <c r="B28" s="17">
        <v>74086</v>
      </c>
      <c r="C28" s="17">
        <v>0</v>
      </c>
      <c r="D28" s="17">
        <v>84337</v>
      </c>
      <c r="E28" s="17">
        <v>84337</v>
      </c>
      <c r="F28" s="17">
        <v>89266</v>
      </c>
      <c r="G28" s="18">
        <f>IF(AND(F68&lt;&gt;0,89266&lt;&gt;0),IF(100*89266/(F68-0)&lt;0.005,"*",100*89266/(F68-0)),0)</f>
        <v>3.0140407175406323</v>
      </c>
    </row>
    <row r="29" spans="1:7" ht="12.75">
      <c r="A29" s="11" t="s">
        <v>111</v>
      </c>
      <c r="B29" s="17">
        <v>32219</v>
      </c>
      <c r="C29" s="17">
        <v>0</v>
      </c>
      <c r="D29" s="17">
        <v>36677</v>
      </c>
      <c r="E29" s="17">
        <v>36677</v>
      </c>
      <c r="F29" s="17">
        <v>38820</v>
      </c>
      <c r="G29" s="18">
        <f>IF(AND(F68&lt;&gt;0,38820&lt;&gt;0),IF(100*38820/(F68-0)&lt;0.005,"*",100*38820/(F68-0)),0)</f>
        <v>1.310746092072316</v>
      </c>
    </row>
    <row r="30" spans="1:7" ht="12.75">
      <c r="A30" s="11" t="s">
        <v>112</v>
      </c>
      <c r="B30" s="17">
        <v>33600</v>
      </c>
      <c r="C30" s="17">
        <v>0</v>
      </c>
      <c r="D30" s="17">
        <v>38250</v>
      </c>
      <c r="E30" s="17">
        <v>38250</v>
      </c>
      <c r="F30" s="17">
        <v>40485</v>
      </c>
      <c r="G30" s="18">
        <f>IF(AND(F68&lt;&gt;0,40485&lt;&gt;0),IF(100*40485/(F68-0)&lt;0.005,"*",100*40485/(F68-0)),0)</f>
        <v>1.3669643363613526</v>
      </c>
    </row>
    <row r="31" spans="1:7" ht="12.75">
      <c r="A31" s="11" t="s">
        <v>113</v>
      </c>
      <c r="B31" s="17">
        <v>45856</v>
      </c>
      <c r="C31" s="17">
        <v>0</v>
      </c>
      <c r="D31" s="17">
        <v>52201</v>
      </c>
      <c r="E31" s="17">
        <v>52201</v>
      </c>
      <c r="F31" s="17">
        <v>55252</v>
      </c>
      <c r="G31" s="18">
        <f>IF(AND(F68&lt;&gt;0,55252&lt;&gt;0),IF(100*55252/(F68-0)&lt;0.005,"*",100*55252/(F68-0)),0)</f>
        <v>1.865567827902617</v>
      </c>
    </row>
    <row r="32" spans="1:7" ht="12.75">
      <c r="A32" s="11" t="s">
        <v>114</v>
      </c>
      <c r="B32" s="17">
        <v>6893</v>
      </c>
      <c r="C32" s="17">
        <v>0</v>
      </c>
      <c r="D32" s="17">
        <v>7846</v>
      </c>
      <c r="E32" s="17">
        <v>7846</v>
      </c>
      <c r="F32" s="17">
        <v>8305</v>
      </c>
      <c r="G32" s="18">
        <f>IF(AND(F68&lt;&gt;0,8305&lt;&gt;0),IF(100*8305/(F68-0)&lt;0.005,"*",100*8305/(F68-0)),0)</f>
        <v>0.28041592721948955</v>
      </c>
    </row>
    <row r="33" spans="1:7" ht="12.75">
      <c r="A33" s="11" t="s">
        <v>115</v>
      </c>
      <c r="B33" s="17">
        <v>13621</v>
      </c>
      <c r="C33" s="17">
        <v>0</v>
      </c>
      <c r="D33" s="17">
        <v>15505</v>
      </c>
      <c r="E33" s="17">
        <v>15505</v>
      </c>
      <c r="F33" s="17">
        <v>16411</v>
      </c>
      <c r="G33" s="18">
        <f>IF(AND(F68&lt;&gt;0,16411&lt;&gt;0),IF(100*16411/(F68-0)&lt;0.005,"*",100*16411/(F68-0)),0)</f>
        <v>0.5541126768933224</v>
      </c>
    </row>
    <row r="34" spans="1:7" ht="12.75">
      <c r="A34" s="11" t="s">
        <v>116</v>
      </c>
      <c r="B34" s="17">
        <v>21619</v>
      </c>
      <c r="C34" s="17">
        <v>0</v>
      </c>
      <c r="D34" s="17">
        <v>24610</v>
      </c>
      <c r="E34" s="17">
        <v>24610</v>
      </c>
      <c r="F34" s="17">
        <v>26049</v>
      </c>
      <c r="G34" s="18">
        <f>IF(AND(F68&lt;&gt;0,26049&lt;&gt;0),IF(100*26049/(F68-0)&lt;0.005,"*",100*26049/(F68-0)),0)</f>
        <v>0.879536964255326</v>
      </c>
    </row>
    <row r="35" spans="1:7" ht="12.75">
      <c r="A35" s="11" t="s">
        <v>117</v>
      </c>
      <c r="B35" s="17">
        <v>5321</v>
      </c>
      <c r="C35" s="17">
        <v>0</v>
      </c>
      <c r="D35" s="17">
        <v>6057</v>
      </c>
      <c r="E35" s="17">
        <v>6057</v>
      </c>
      <c r="F35" s="17">
        <v>6411</v>
      </c>
      <c r="G35" s="18">
        <f>IF(AND(F68&lt;&gt;0,6411&lt;&gt;0),IF(100*6411/(F68-0)&lt;0.005,"*",100*6411/(F68-0)),0)</f>
        <v>0.21646556404625494</v>
      </c>
    </row>
    <row r="36" spans="1:7" ht="12.75">
      <c r="A36" s="11" t="s">
        <v>118</v>
      </c>
      <c r="B36" s="17">
        <v>42932</v>
      </c>
      <c r="C36" s="17">
        <v>0</v>
      </c>
      <c r="D36" s="17">
        <v>48872</v>
      </c>
      <c r="E36" s="17">
        <v>48872</v>
      </c>
      <c r="F36" s="17">
        <v>51729</v>
      </c>
      <c r="G36" s="18">
        <f>IF(AND(F68&lt;&gt;0,51729&lt;&gt;0),IF(100*51729/(F68-0)&lt;0.005,"*",100*51729/(F68-0)),0)</f>
        <v>1.7466147500465954</v>
      </c>
    </row>
    <row r="37" spans="1:7" ht="12.75">
      <c r="A37" s="11" t="s">
        <v>119</v>
      </c>
      <c r="B37" s="17">
        <v>20319</v>
      </c>
      <c r="C37" s="17">
        <v>0</v>
      </c>
      <c r="D37" s="17">
        <v>23131</v>
      </c>
      <c r="E37" s="17">
        <v>23131</v>
      </c>
      <c r="F37" s="17">
        <v>24482</v>
      </c>
      <c r="G37" s="18">
        <f>IF(AND(F68&lt;&gt;0,24482&lt;&gt;0),IF(100*24482/(F68-0)&lt;0.005,"*",100*24482/(F68-0)),0)</f>
        <v>0.8266276616721906</v>
      </c>
    </row>
    <row r="38" spans="1:7" ht="12.75">
      <c r="A38" s="11" t="s">
        <v>120</v>
      </c>
      <c r="B38" s="17">
        <v>108788</v>
      </c>
      <c r="C38" s="17">
        <v>0</v>
      </c>
      <c r="D38" s="17">
        <v>123841</v>
      </c>
      <c r="E38" s="17">
        <v>123841</v>
      </c>
      <c r="F38" s="17">
        <v>131079</v>
      </c>
      <c r="G38" s="18">
        <f>IF(AND(F68&lt;&gt;0,131079&lt;&gt;0),IF(100*131079/(F68-0)&lt;0.005,"*",100*131079/(F68-0)),0)</f>
        <v>4.425844590488076</v>
      </c>
    </row>
    <row r="39" spans="1:7" ht="12.75">
      <c r="A39" s="11" t="s">
        <v>121</v>
      </c>
      <c r="B39" s="17">
        <v>80510</v>
      </c>
      <c r="C39" s="17">
        <v>0</v>
      </c>
      <c r="D39" s="17">
        <v>91650</v>
      </c>
      <c r="E39" s="17">
        <v>91650</v>
      </c>
      <c r="F39" s="17">
        <v>97007</v>
      </c>
      <c r="G39" s="18">
        <f>IF(AND(F68&lt;&gt;0,97007&lt;&gt;0),IF(100*97007/(F68-0)&lt;0.005,"*",100*97007/(F68-0)),0)</f>
        <v>3.2754133475955474</v>
      </c>
    </row>
    <row r="40" spans="1:7" ht="12.75">
      <c r="A40" s="11" t="s">
        <v>122</v>
      </c>
      <c r="B40" s="17">
        <v>3824</v>
      </c>
      <c r="C40" s="17">
        <v>0</v>
      </c>
      <c r="D40" s="17">
        <v>4353</v>
      </c>
      <c r="E40" s="17">
        <v>4353</v>
      </c>
      <c r="F40" s="17">
        <v>4608</v>
      </c>
      <c r="G40" s="18">
        <f>IF(AND(F68&lt;&gt;0,4608&lt;&gt;0),IF(100*4608/(F68-0)&lt;0.005,"*",100*4608/(F68-0)),0)</f>
        <v>0.1555877895999287</v>
      </c>
    </row>
    <row r="41" spans="1:7" ht="12.75">
      <c r="A41" s="11" t="s">
        <v>123</v>
      </c>
      <c r="B41" s="17">
        <v>82297</v>
      </c>
      <c r="C41" s="17">
        <v>0</v>
      </c>
      <c r="D41" s="17">
        <v>93684</v>
      </c>
      <c r="E41" s="17">
        <v>93684</v>
      </c>
      <c r="F41" s="17">
        <v>99160</v>
      </c>
      <c r="G41" s="18">
        <f>IF(AND(F68&lt;&gt;0,99160&lt;&gt;0),IF(100*99160/(F68-0)&lt;0.005,"*",100*99160/(F68-0)),0)</f>
        <v>3.348108770991521</v>
      </c>
    </row>
    <row r="42" spans="1:7" ht="12.75">
      <c r="A42" s="11" t="s">
        <v>124</v>
      </c>
      <c r="B42" s="17">
        <v>34522</v>
      </c>
      <c r="C42" s="17">
        <v>0</v>
      </c>
      <c r="D42" s="17">
        <v>39298</v>
      </c>
      <c r="E42" s="17">
        <v>39298</v>
      </c>
      <c r="F42" s="17">
        <v>41595</v>
      </c>
      <c r="G42" s="18">
        <f>IF(AND(F68&lt;&gt;0,41595&lt;&gt;0),IF(100*41595/(F68-0)&lt;0.005,"*",100*41595/(F68-0)),0)</f>
        <v>1.404443165887377</v>
      </c>
    </row>
    <row r="43" spans="1:7" ht="12.75">
      <c r="A43" s="11" t="s">
        <v>125</v>
      </c>
      <c r="B43" s="17">
        <v>27123</v>
      </c>
      <c r="C43" s="17">
        <v>0</v>
      </c>
      <c r="D43" s="17">
        <v>30876</v>
      </c>
      <c r="E43" s="17">
        <v>30876</v>
      </c>
      <c r="F43" s="17">
        <v>32681</v>
      </c>
      <c r="G43" s="18">
        <f>IF(AND(F68&lt;&gt;0,32681&lt;&gt;0),IF(100*32681/(F68-0)&lt;0.005,"*",100*32681/(F68-0)),0)</f>
        <v>1.1034645294955012</v>
      </c>
    </row>
    <row r="44" spans="1:7" ht="12.75">
      <c r="A44" s="11" t="s">
        <v>126</v>
      </c>
      <c r="B44" s="17">
        <v>70699</v>
      </c>
      <c r="C44" s="17">
        <v>0</v>
      </c>
      <c r="D44" s="17">
        <v>80481</v>
      </c>
      <c r="E44" s="17">
        <v>80481</v>
      </c>
      <c r="F44" s="17">
        <v>85185</v>
      </c>
      <c r="G44" s="18">
        <f>IF(AND(F68&lt;&gt;0,85185&lt;&gt;0),IF(100*85185/(F68-0)&lt;0.005,"*",100*85185/(F68-0)),0)</f>
        <v>2.8762469307877443</v>
      </c>
    </row>
    <row r="45" spans="1:7" ht="12.75">
      <c r="A45" s="11" t="s">
        <v>127</v>
      </c>
      <c r="B45" s="17">
        <v>5680</v>
      </c>
      <c r="C45" s="17">
        <v>0</v>
      </c>
      <c r="D45" s="17">
        <v>6466</v>
      </c>
      <c r="E45" s="17">
        <v>6466</v>
      </c>
      <c r="F45" s="17">
        <v>6844</v>
      </c>
      <c r="G45" s="18">
        <f>IF(AND(F68&lt;&gt;0,6844&lt;&gt;0),IF(100*6844/(F68-0)&lt;0.005,"*",100*6844/(F68-0)),0)</f>
        <v>0.23108568403253296</v>
      </c>
    </row>
    <row r="46" spans="1:7" ht="12.75">
      <c r="A46" s="11" t="s">
        <v>128</v>
      </c>
      <c r="B46" s="17">
        <v>42414</v>
      </c>
      <c r="C46" s="17">
        <v>0</v>
      </c>
      <c r="D46" s="17">
        <v>48283</v>
      </c>
      <c r="E46" s="17">
        <v>48283</v>
      </c>
      <c r="F46" s="17">
        <v>51105</v>
      </c>
      <c r="G46" s="18">
        <f>IF(AND(F68&lt;&gt;0,51105&lt;&gt;0),IF(100*51105/(F68-0)&lt;0.005,"*",100*51105/(F68-0)),0)</f>
        <v>1.7255455702049383</v>
      </c>
    </row>
    <row r="47" spans="1:7" ht="12.75">
      <c r="A47" s="11" t="s">
        <v>129</v>
      </c>
      <c r="B47" s="17">
        <v>5946</v>
      </c>
      <c r="C47" s="17">
        <v>0</v>
      </c>
      <c r="D47" s="17">
        <v>6768</v>
      </c>
      <c r="E47" s="17">
        <v>6768</v>
      </c>
      <c r="F47" s="17">
        <v>7164</v>
      </c>
      <c r="G47" s="18">
        <f>IF(AND(F68&lt;&gt;0,7164&lt;&gt;0),IF(100*7164/(F68-0)&lt;0.005,"*",100*7164/(F68-0)),0)</f>
        <v>0.24189039164363912</v>
      </c>
    </row>
    <row r="48" spans="1:7" ht="12.75">
      <c r="A48" s="11" t="s">
        <v>130</v>
      </c>
      <c r="B48" s="17">
        <v>54407</v>
      </c>
      <c r="C48" s="17">
        <v>0</v>
      </c>
      <c r="D48" s="17">
        <v>61935</v>
      </c>
      <c r="E48" s="17">
        <v>61935</v>
      </c>
      <c r="F48" s="17">
        <v>65555</v>
      </c>
      <c r="G48" s="18">
        <f>IF(AND(F68&lt;&gt;0,65555&lt;&gt;0),IF(100*65555/(F68-0)&lt;0.005,"*",100*65555/(F68-0)),0)</f>
        <v>2.2134456482689506</v>
      </c>
    </row>
    <row r="49" spans="1:7" ht="12.75">
      <c r="A49" s="11" t="s">
        <v>131</v>
      </c>
      <c r="B49" s="17">
        <v>251940</v>
      </c>
      <c r="C49" s="17">
        <v>0</v>
      </c>
      <c r="D49" s="17">
        <v>286801</v>
      </c>
      <c r="E49" s="17">
        <v>286801</v>
      </c>
      <c r="F49" s="17">
        <v>303564</v>
      </c>
      <c r="G49" s="18">
        <f>IF(AND(F68&lt;&gt;0,303564&lt;&gt;0),IF(100*303564/(F68-0)&lt;0.005,"*",100*303564/(F68-0)),0)</f>
        <v>10.24975081643072</v>
      </c>
    </row>
    <row r="50" spans="1:7" ht="12.75">
      <c r="A50" s="11" t="s">
        <v>132</v>
      </c>
      <c r="B50" s="17">
        <v>28299</v>
      </c>
      <c r="C50" s="17">
        <v>0</v>
      </c>
      <c r="D50" s="17">
        <v>32215</v>
      </c>
      <c r="E50" s="17">
        <v>32215</v>
      </c>
      <c r="F50" s="17">
        <v>34098</v>
      </c>
      <c r="G50" s="18">
        <f>IF(AND(F68&lt;&gt;0,34098&lt;&gt;0),IF(100*34098/(F68-0)&lt;0.005,"*",100*34098/(F68-0)),0)</f>
        <v>1.1513091253859307</v>
      </c>
    </row>
    <row r="51" spans="1:7" ht="12.75">
      <c r="A51" s="11" t="s">
        <v>133</v>
      </c>
      <c r="B51" s="17">
        <v>3159</v>
      </c>
      <c r="C51" s="17">
        <v>0</v>
      </c>
      <c r="D51" s="17">
        <v>3596</v>
      </c>
      <c r="E51" s="17">
        <v>3596</v>
      </c>
      <c r="F51" s="17">
        <v>3806</v>
      </c>
      <c r="G51" s="18">
        <f>IF(AND(F68&lt;&gt;0,3806&lt;&gt;0),IF(100*3806/(F68-0)&lt;0.005,"*",100*3806/(F68-0)),0)</f>
        <v>0.12850849114959387</v>
      </c>
    </row>
    <row r="52" spans="1:7" ht="12.75">
      <c r="A52" s="11" t="s">
        <v>134</v>
      </c>
      <c r="B52" s="17">
        <v>46310</v>
      </c>
      <c r="C52" s="17">
        <v>0</v>
      </c>
      <c r="D52" s="17">
        <v>52718</v>
      </c>
      <c r="E52" s="17">
        <v>52718</v>
      </c>
      <c r="F52" s="17">
        <v>55799</v>
      </c>
      <c r="G52" s="18">
        <f>IF(AND(F68&lt;&gt;0,55799&lt;&gt;0),IF(100*55799/(F68-0)&lt;0.005,"*",100*55799/(F68-0)),0)</f>
        <v>1.8840371249753518</v>
      </c>
    </row>
    <row r="53" spans="1:7" ht="12.75">
      <c r="A53" s="11" t="s">
        <v>135</v>
      </c>
      <c r="B53" s="17">
        <v>41921</v>
      </c>
      <c r="C53" s="17">
        <v>0</v>
      </c>
      <c r="D53" s="17">
        <v>47722</v>
      </c>
      <c r="E53" s="17">
        <v>47722</v>
      </c>
      <c r="F53" s="17">
        <v>50511</v>
      </c>
      <c r="G53" s="18">
        <f>IF(AND(F68&lt;&gt;0,50511&lt;&gt;0),IF(100*50511/(F68-0)&lt;0.005,"*",100*50511/(F68-0)),0)</f>
        <v>1.7054893317018225</v>
      </c>
    </row>
    <row r="54" spans="1:7" ht="12.75">
      <c r="A54" s="11" t="s">
        <v>136</v>
      </c>
      <c r="B54" s="17">
        <v>14808</v>
      </c>
      <c r="C54" s="17">
        <v>0</v>
      </c>
      <c r="D54" s="17">
        <v>16857</v>
      </c>
      <c r="E54" s="17">
        <v>16857</v>
      </c>
      <c r="F54" s="17">
        <v>17842</v>
      </c>
      <c r="G54" s="18">
        <f>IF(AND(F68&lt;&gt;0,17842&lt;&gt;0),IF(100*17842/(F68-0)&lt;0.005,"*",100*17842/(F68-0)),0)</f>
        <v>0.6024299787417378</v>
      </c>
    </row>
    <row r="55" spans="1:7" ht="12.75">
      <c r="A55" s="11" t="s">
        <v>137</v>
      </c>
      <c r="B55" s="17">
        <v>36833</v>
      </c>
      <c r="C55" s="17">
        <v>0</v>
      </c>
      <c r="D55" s="17">
        <v>41930</v>
      </c>
      <c r="E55" s="17">
        <v>41930</v>
      </c>
      <c r="F55" s="17">
        <v>44381</v>
      </c>
      <c r="G55" s="18">
        <f>IF(AND(F68&lt;&gt;0,44381&lt;&gt;0),IF(100*44381/(F68-0)&lt;0.005,"*",100*44381/(F68-0)),0)</f>
        <v>1.4985116515265702</v>
      </c>
    </row>
    <row r="56" spans="1:7" ht="12.75">
      <c r="A56" s="11" t="s">
        <v>138</v>
      </c>
      <c r="B56" s="17">
        <v>3116</v>
      </c>
      <c r="C56" s="17">
        <v>0</v>
      </c>
      <c r="D56" s="17">
        <v>3547</v>
      </c>
      <c r="E56" s="17">
        <v>3547</v>
      </c>
      <c r="F56" s="17">
        <v>3754</v>
      </c>
      <c r="G56" s="18">
        <f>IF(AND(F68&lt;&gt;0,3754&lt;&gt;0),IF(100*3754/(F68-0)&lt;0.005,"*",100*3754/(F68-0)),0)</f>
        <v>0.12675272616278913</v>
      </c>
    </row>
    <row r="57" spans="1:7" ht="12.75">
      <c r="A57" s="11" t="s">
        <v>139</v>
      </c>
      <c r="B57" s="17">
        <v>3185</v>
      </c>
      <c r="C57" s="17">
        <v>0</v>
      </c>
      <c r="D57" s="17">
        <v>3611</v>
      </c>
      <c r="E57" s="17">
        <v>3611</v>
      </c>
      <c r="F57" s="17">
        <v>3821</v>
      </c>
      <c r="G57" s="18">
        <f>IF(AND(F68&lt;&gt;0,3821&lt;&gt;0),IF(100*3821/(F68-0)&lt;0.005,"*",100*3821/(F68-0)),0)</f>
        <v>0.1290149618188645</v>
      </c>
    </row>
    <row r="58" spans="1:7" ht="12.75">
      <c r="A58" s="11" t="s">
        <v>140</v>
      </c>
      <c r="B58" s="17">
        <v>4589</v>
      </c>
      <c r="C58" s="17">
        <v>0</v>
      </c>
      <c r="D58" s="17">
        <v>5204</v>
      </c>
      <c r="E58" s="17">
        <v>5204</v>
      </c>
      <c r="F58" s="17">
        <v>5506</v>
      </c>
      <c r="G58" s="18">
        <f>IF(AND(F68&lt;&gt;0,5506&lt;&gt;0),IF(100*5506/(F68-0)&lt;0.005,"*",100*5506/(F68-0)),0)</f>
        <v>0.18590850033359535</v>
      </c>
    </row>
    <row r="59" spans="1:7" ht="12.75">
      <c r="A59" s="11" t="s">
        <v>141</v>
      </c>
      <c r="B59" s="17">
        <v>1992</v>
      </c>
      <c r="C59" s="17">
        <v>0</v>
      </c>
      <c r="D59" s="17">
        <v>2259</v>
      </c>
      <c r="E59" s="17">
        <v>2259</v>
      </c>
      <c r="F59" s="17">
        <v>2390</v>
      </c>
      <c r="G59" s="18">
        <f>IF(AND(F68&lt;&gt;0,2390&lt;&gt;0),IF(100*2390/(F68-0)&lt;0.005,"*",100*2390/(F68-0)),0)</f>
        <v>0.08069765997044913</v>
      </c>
    </row>
    <row r="60" spans="1:7" ht="12.75">
      <c r="A60" s="11" t="s">
        <v>142</v>
      </c>
      <c r="B60" s="17">
        <v>31435</v>
      </c>
      <c r="C60" s="17">
        <v>0</v>
      </c>
      <c r="D60" s="17">
        <v>35784</v>
      </c>
      <c r="E60" s="17">
        <v>35784</v>
      </c>
      <c r="F60" s="17">
        <v>37876</v>
      </c>
      <c r="G60" s="18">
        <f>IF(AND(F68&lt;&gt;0,37876&lt;&gt;0),IF(100*37876/(F68-0)&lt;0.005,"*",100*37876/(F68-0)),0)</f>
        <v>1.2788722046195526</v>
      </c>
    </row>
    <row r="61" spans="1:7" ht="12.75">
      <c r="A61" s="11" t="s">
        <v>143</v>
      </c>
      <c r="B61" s="17">
        <v>0</v>
      </c>
      <c r="C61" s="17">
        <v>0</v>
      </c>
      <c r="D61" s="17">
        <v>0</v>
      </c>
      <c r="E61" s="17">
        <v>0</v>
      </c>
      <c r="F61" s="17">
        <v>0</v>
      </c>
      <c r="G61" s="18">
        <f>IF(AND(F68&lt;&gt;0,0&lt;&gt;0),IF(100*0/(F68-0)&lt;0.005,"*",100*0/(F68-0)),0)</f>
        <v>0</v>
      </c>
    </row>
    <row r="62" spans="1:7" ht="12.75">
      <c r="A62" s="11" t="s">
        <v>144</v>
      </c>
      <c r="B62" s="17">
        <v>2409</v>
      </c>
      <c r="C62" s="17">
        <v>0</v>
      </c>
      <c r="D62" s="17">
        <v>2731</v>
      </c>
      <c r="E62" s="17">
        <v>2731</v>
      </c>
      <c r="F62" s="17">
        <v>2890</v>
      </c>
      <c r="G62" s="18">
        <f>IF(AND(F68&lt;&gt;0,2890&lt;&gt;0),IF(100*2890/(F68-0)&lt;0.005,"*",100*2890/(F68-0)),0)</f>
        <v>0.0975800156128025</v>
      </c>
    </row>
    <row r="63" spans="1:7" ht="12.75">
      <c r="A63" s="11" t="s">
        <v>145</v>
      </c>
      <c r="B63" s="17">
        <v>60875</v>
      </c>
      <c r="C63" s="17">
        <v>0</v>
      </c>
      <c r="D63" s="17">
        <v>75928</v>
      </c>
      <c r="E63" s="17">
        <v>75928</v>
      </c>
      <c r="F63" s="17">
        <v>80346</v>
      </c>
      <c r="G63" s="18">
        <f>IF(AND(F68&lt;&gt;0,80346&lt;&gt;0),IF(100*80346/(F68-0)&lt;0.005,"*",100*80346/(F68-0)),0)</f>
        <v>2.7128594928810483</v>
      </c>
    </row>
    <row r="64" spans="1:7" ht="12.75">
      <c r="A64" s="11" t="s">
        <v>146</v>
      </c>
      <c r="B64" s="17">
        <v>0</v>
      </c>
      <c r="C64" s="17">
        <v>0</v>
      </c>
      <c r="D64" s="17">
        <v>0</v>
      </c>
      <c r="E64" s="17">
        <v>0</v>
      </c>
      <c r="F64" s="17">
        <v>0</v>
      </c>
      <c r="G64" s="18">
        <v>0</v>
      </c>
    </row>
    <row r="65" spans="1:7" ht="12.75">
      <c r="A65" s="11" t="s">
        <v>189</v>
      </c>
      <c r="B65" s="17">
        <v>26759</v>
      </c>
      <c r="C65" s="17">
        <v>0</v>
      </c>
      <c r="D65" s="17">
        <v>13805</v>
      </c>
      <c r="E65" s="17">
        <v>13805</v>
      </c>
      <c r="F65" s="17">
        <v>14608</v>
      </c>
      <c r="G65" s="18">
        <f>IF(AND(F68&lt;&gt;0,14608&lt;&gt;0),IF(100*14608/(F68-0)&lt;0.005,"*",100*14608/(F68-0)),0)</f>
        <v>0.49323490244699614</v>
      </c>
    </row>
    <row r="66" spans="1:7" ht="12.75">
      <c r="A66" s="11" t="s">
        <v>190</v>
      </c>
      <c r="B66" s="17">
        <v>996</v>
      </c>
      <c r="C66" s="17">
        <v>0</v>
      </c>
      <c r="D66" s="17">
        <v>1500</v>
      </c>
      <c r="E66" s="17">
        <v>1500</v>
      </c>
      <c r="F66" s="17">
        <v>41500</v>
      </c>
      <c r="G66" s="18">
        <f>IF(AND(F68&lt;&gt;0,41500&lt;&gt;0),IF(100*41500/(F68-0)&lt;0.005,"*",100*41500/(F68-0)),0)</f>
        <v>1.40123551831533</v>
      </c>
    </row>
    <row r="67" spans="1:7" ht="12.75">
      <c r="A67" s="11" t="s">
        <v>164</v>
      </c>
      <c r="B67" s="17">
        <v>9845</v>
      </c>
      <c r="C67" s="17">
        <v>0</v>
      </c>
      <c r="D67" s="17">
        <v>10000</v>
      </c>
      <c r="E67" s="17">
        <v>10000</v>
      </c>
      <c r="F67" s="17">
        <v>10000</v>
      </c>
      <c r="G67" s="18">
        <f>IF(AND(F68&lt;&gt;0,10000&lt;&gt;0),IF(100*10000/(F68-0)&lt;0.005,"*",100*10000/(F68-0)),0)</f>
        <v>0.33764711284706744</v>
      </c>
    </row>
    <row r="68" spans="1:7" ht="15" customHeight="1">
      <c r="A68" s="19" t="s">
        <v>87</v>
      </c>
      <c r="B68" s="20">
        <f>44500+4601+60032+28731+266922+30467+15247+6255+3731+137847+99521+8630+14350+84588+55540+20619+22323+41769+42435+7594+29255+28889+74086+32219+33600+45856+6893+13621+21619+5321+42932+20319+108788+80510+3824+82297+34522+27123+70699+5680+42414+5946+54407+251940+28299+3159+46310+41921+14808+36833+3116+3185+4589+1992+31435+0+2409+60875+0+0+0+0+26759+996+9845+0</f>
        <v>2434993</v>
      </c>
      <c r="C68" s="20">
        <f>0+0+0+0+0+0+0+0+0+0+0+0+0+0+0+0+0+0+0+0+0+0+0+0+0+0+0+0+0+0+0+0+0+0+0+0+0+0+0+0+0+0+0+0+0+0+0+0+0+0+0+0+0+0+0+0+0+0+0+0+0+0+0+0+0+0</f>
        <v>0</v>
      </c>
      <c r="D68" s="20">
        <f>50658+5238+68339+32707+303856+34683+17357+7120+4248+156921+113292+9825+16336+96292+63225+23472+25412+47549+48307+8645+33303+32886+84337+36677+38250+52201+7846+15505+24610+6057+48872+23131+123841+91650+4353+93684+39298+30876+80481+6466+48283+6768+61935+286801+32215+3596+52718+47722+16857+41930+3547+3611+5204+2259+35784+0+2731+75928+0+0+0+0+13805+1500+10000+0</f>
        <v>2761000</v>
      </c>
      <c r="E68" s="20">
        <f>SUM(C68:D68)</f>
        <v>2761000</v>
      </c>
      <c r="F68" s="20">
        <f>53618+5544+72333+34619+321617+36710+18371+7536+4496+166092+119914+10399+17290+101920+66920+24844+26897+50328+51131+9150+35250+34808+89266+38820+40485+55252+8305+16411+26049+6411+51729+24482+131079+97007+4608+99160+41595+32681+85185+6844+51105+7164+65555+303564+34098+3806+55799+50511+17842+44381+3754+3821+5506+2390+37876+0+2890+80346+0+0+0+0+14608+41500+10000+0</f>
        <v>2961672</v>
      </c>
      <c r="G68" s="21" t="s">
        <v>147</v>
      </c>
    </row>
    <row r="69" spans="1:7" ht="15" customHeight="1">
      <c r="A69" s="33" t="s">
        <v>148</v>
      </c>
      <c r="B69" s="33"/>
      <c r="C69" s="33"/>
      <c r="D69" s="33"/>
      <c r="E69" s="33"/>
      <c r="F69" s="33"/>
      <c r="G69" s="33"/>
    </row>
    <row r="70" spans="1:7" ht="15" customHeight="1">
      <c r="A70" s="26" t="s">
        <v>149</v>
      </c>
      <c r="B70" s="26"/>
      <c r="C70" s="26"/>
      <c r="D70" s="26"/>
      <c r="E70" s="26"/>
      <c r="F70" s="26"/>
      <c r="G70" s="26"/>
    </row>
  </sheetData>
  <sheetProtection/>
  <mergeCells count="6">
    <mergeCell ref="A70:G70"/>
    <mergeCell ref="A4:A5"/>
    <mergeCell ref="B4:B5"/>
    <mergeCell ref="F4:F5"/>
    <mergeCell ref="G4:G5"/>
    <mergeCell ref="A69:G69"/>
  </mergeCells>
  <printOptions/>
  <pageMargins left="0.7" right="0.7" top="0.75" bottom="0.75" header="0.3" footer="0.3"/>
  <pageSetup fitToHeight="1" fitToWidth="1"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183</v>
      </c>
      <c r="B1" s="10"/>
      <c r="C1" s="10"/>
      <c r="D1" s="10"/>
      <c r="E1" s="10"/>
      <c r="F1" s="10"/>
      <c r="G1" s="12" t="s">
        <v>198</v>
      </c>
    </row>
    <row r="2" spans="1:7" ht="12.75">
      <c r="A2" s="13" t="s">
        <v>199</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16442</v>
      </c>
      <c r="C6" s="17">
        <v>0</v>
      </c>
      <c r="D6" s="17">
        <v>16442</v>
      </c>
      <c r="E6" s="17">
        <v>16442</v>
      </c>
      <c r="F6" s="17">
        <v>16442</v>
      </c>
      <c r="G6" s="18">
        <f>IF(AND(F68&lt;&gt;0,16442&lt;&gt;0),IF(100*16442/(F68-0)&lt;0.005,"*",100*16442/(F68-0)),0)</f>
        <v>1.2196686969751593</v>
      </c>
    </row>
    <row r="7" spans="1:7" ht="12.75">
      <c r="A7" s="11" t="s">
        <v>89</v>
      </c>
      <c r="B7" s="17">
        <v>3545</v>
      </c>
      <c r="C7" s="17">
        <v>0</v>
      </c>
      <c r="D7" s="17">
        <v>3545</v>
      </c>
      <c r="E7" s="17">
        <v>3545</v>
      </c>
      <c r="F7" s="17">
        <v>3545</v>
      </c>
      <c r="G7" s="18">
        <f>IF(AND(F68&lt;&gt;0,3545&lt;&gt;0),IF(100*3545/(F68-0)&lt;0.005,"*",100*3545/(F68-0)),0)</f>
        <v>0.26296834513909134</v>
      </c>
    </row>
    <row r="8" spans="1:7" ht="12.75">
      <c r="A8" s="11" t="s">
        <v>90</v>
      </c>
      <c r="B8" s="17">
        <v>19827</v>
      </c>
      <c r="C8" s="17">
        <v>0</v>
      </c>
      <c r="D8" s="17">
        <v>19827</v>
      </c>
      <c r="E8" s="17">
        <v>19827</v>
      </c>
      <c r="F8" s="17">
        <v>19827</v>
      </c>
      <c r="G8" s="18">
        <f>IF(AND(F68&lt;&gt;0,19827&lt;&gt;0),IF(100*19827/(F68-0)&lt;0.005,"*",100*19827/(F68-0)),0)</f>
        <v>1.470768231050145</v>
      </c>
    </row>
    <row r="9" spans="1:7" ht="12.75">
      <c r="A9" s="11" t="s">
        <v>91</v>
      </c>
      <c r="B9" s="17">
        <v>5300</v>
      </c>
      <c r="C9" s="17">
        <v>0</v>
      </c>
      <c r="D9" s="17">
        <v>5300</v>
      </c>
      <c r="E9" s="17">
        <v>5300</v>
      </c>
      <c r="F9" s="17">
        <v>5300</v>
      </c>
      <c r="G9" s="18">
        <f>IF(AND(F68&lt;&gt;0,5300&lt;&gt;0),IF(100*5300/(F68-0)&lt;0.005,"*",100*5300/(F68-0)),0)</f>
        <v>0.39315436649850044</v>
      </c>
    </row>
    <row r="10" spans="1:7" ht="12.75">
      <c r="A10" s="11" t="s">
        <v>92</v>
      </c>
      <c r="B10" s="17">
        <v>85593</v>
      </c>
      <c r="C10" s="17">
        <v>0</v>
      </c>
      <c r="D10" s="17">
        <v>85593</v>
      </c>
      <c r="E10" s="17">
        <v>85593</v>
      </c>
      <c r="F10" s="17">
        <v>85593</v>
      </c>
      <c r="G10" s="18">
        <f>IF(AND(F68&lt;&gt;0,85593&lt;&gt;0),IF(100*85593/(F68-0)&lt;0.005,"*",100*85593/(F68-0)),0)</f>
        <v>6.349294658812481</v>
      </c>
    </row>
    <row r="11" spans="1:7" ht="12.75">
      <c r="A11" s="11" t="s">
        <v>93</v>
      </c>
      <c r="B11" s="17">
        <v>10174</v>
      </c>
      <c r="C11" s="17">
        <v>0</v>
      </c>
      <c r="D11" s="17">
        <v>10174</v>
      </c>
      <c r="E11" s="17">
        <v>10174</v>
      </c>
      <c r="F11" s="17">
        <v>10174</v>
      </c>
      <c r="G11" s="18">
        <f>IF(AND(F68&lt;&gt;0,10174&lt;&gt;0),IF(100*10174/(F68-0)&lt;0.005,"*",100*10174/(F68-0)),0)</f>
        <v>0.7547080235388195</v>
      </c>
    </row>
    <row r="12" spans="1:7" ht="12.75">
      <c r="A12" s="11" t="s">
        <v>94</v>
      </c>
      <c r="B12" s="17">
        <v>18738</v>
      </c>
      <c r="C12" s="17">
        <v>0</v>
      </c>
      <c r="D12" s="17">
        <v>18738</v>
      </c>
      <c r="E12" s="17">
        <v>18738</v>
      </c>
      <c r="F12" s="17">
        <v>18738</v>
      </c>
      <c r="G12" s="18">
        <f>IF(AND(F68&lt;&gt;0,18738&lt;&gt;0),IF(100*18738/(F68-0)&lt;0.005,"*",100*18738/(F68-0)),0)</f>
        <v>1.3899861357450758</v>
      </c>
    </row>
    <row r="13" spans="1:7" ht="12.75">
      <c r="A13" s="11" t="s">
        <v>95</v>
      </c>
      <c r="B13" s="17">
        <v>5179</v>
      </c>
      <c r="C13" s="17">
        <v>0</v>
      </c>
      <c r="D13" s="17">
        <v>5179</v>
      </c>
      <c r="E13" s="17">
        <v>5179</v>
      </c>
      <c r="F13" s="17">
        <v>5179</v>
      </c>
      <c r="G13" s="18">
        <f>IF(AND(F68&lt;&gt;0,5179&lt;&gt;0),IF(100*5179/(F68-0)&lt;0.005,"*",100*5179/(F68-0)),0)</f>
        <v>0.38417857813127054</v>
      </c>
    </row>
    <row r="14" spans="1:7" ht="12.75">
      <c r="A14" s="11" t="s">
        <v>96</v>
      </c>
      <c r="B14" s="17">
        <v>4567</v>
      </c>
      <c r="C14" s="17">
        <v>0</v>
      </c>
      <c r="D14" s="17">
        <v>4567</v>
      </c>
      <c r="E14" s="17">
        <v>4567</v>
      </c>
      <c r="F14" s="17">
        <v>4567</v>
      </c>
      <c r="G14" s="18">
        <f>IF(AND(F68&lt;&gt;0,4567&lt;&gt;0),IF(100*4567/(F68-0)&lt;0.005,"*",100*4567/(F68-0)),0)</f>
        <v>0.33878037581106635</v>
      </c>
    </row>
    <row r="15" spans="1:7" ht="12.75">
      <c r="A15" s="11" t="s">
        <v>97</v>
      </c>
      <c r="B15" s="17">
        <v>43026</v>
      </c>
      <c r="C15" s="17">
        <v>0</v>
      </c>
      <c r="D15" s="17">
        <v>43026</v>
      </c>
      <c r="E15" s="17">
        <v>43026</v>
      </c>
      <c r="F15" s="17">
        <v>43026</v>
      </c>
      <c r="G15" s="18">
        <f>IF(AND(F68&lt;&gt;0,43026&lt;&gt;0),IF(100*43026/(F68-0)&lt;0.005,"*",100*43026/(F68-0)),0)</f>
        <v>3.191671655276317</v>
      </c>
    </row>
    <row r="16" spans="1:7" ht="12.75">
      <c r="A16" s="11" t="s">
        <v>98</v>
      </c>
      <c r="B16" s="17">
        <v>36548</v>
      </c>
      <c r="C16" s="17">
        <v>0</v>
      </c>
      <c r="D16" s="17">
        <v>36548</v>
      </c>
      <c r="E16" s="17">
        <v>36548</v>
      </c>
      <c r="F16" s="17">
        <v>36548</v>
      </c>
      <c r="G16" s="18">
        <f>IF(AND(F68&lt;&gt;0,36548&lt;&gt;0),IF(100*36548/(F68-0)&lt;0.005,"*",100*36548/(F68-0)),0)</f>
        <v>2.7111331673183385</v>
      </c>
    </row>
    <row r="17" spans="1:7" ht="12.75">
      <c r="A17" s="11" t="s">
        <v>99</v>
      </c>
      <c r="B17" s="17">
        <v>4972</v>
      </c>
      <c r="C17" s="17">
        <v>0</v>
      </c>
      <c r="D17" s="17">
        <v>4972</v>
      </c>
      <c r="E17" s="17">
        <v>4972</v>
      </c>
      <c r="F17" s="17">
        <v>4972</v>
      </c>
      <c r="G17" s="18">
        <f>IF(AND(F68&lt;&gt;0,4972&lt;&gt;0),IF(100*4972/(F68-0)&lt;0.005,"*",100*4972/(F68-0)),0)</f>
        <v>0.36882330381708384</v>
      </c>
    </row>
    <row r="18" spans="1:7" ht="12.75">
      <c r="A18" s="11" t="s">
        <v>100</v>
      </c>
      <c r="B18" s="17">
        <v>2868</v>
      </c>
      <c r="C18" s="17">
        <v>0</v>
      </c>
      <c r="D18" s="17">
        <v>2868</v>
      </c>
      <c r="E18" s="17">
        <v>2868</v>
      </c>
      <c r="F18" s="17">
        <v>2868</v>
      </c>
      <c r="G18" s="18">
        <f>IF(AND(F68&lt;&gt;0,2868&lt;&gt;0),IF(100*2868/(F68-0)&lt;0.005,"*",100*2868/(F68-0)),0)</f>
        <v>0.2127484383240942</v>
      </c>
    </row>
    <row r="19" spans="1:7" ht="12.75">
      <c r="A19" s="11" t="s">
        <v>101</v>
      </c>
      <c r="B19" s="17">
        <v>56874</v>
      </c>
      <c r="C19" s="17">
        <v>0</v>
      </c>
      <c r="D19" s="17">
        <v>56874</v>
      </c>
      <c r="E19" s="17">
        <v>56874</v>
      </c>
      <c r="F19" s="17">
        <v>56874</v>
      </c>
      <c r="G19" s="18">
        <f>IF(AND(F68&lt;&gt;0,56874&lt;&gt;0),IF(100*56874/(F68-0)&lt;0.005,"*",100*56874/(F68-0)),0)</f>
        <v>4.218917252874663</v>
      </c>
    </row>
    <row r="20" spans="1:7" ht="12.75">
      <c r="A20" s="11" t="s">
        <v>102</v>
      </c>
      <c r="B20" s="17">
        <v>26182</v>
      </c>
      <c r="C20" s="17">
        <v>0</v>
      </c>
      <c r="D20" s="17">
        <v>26182</v>
      </c>
      <c r="E20" s="17">
        <v>26182</v>
      </c>
      <c r="F20" s="17">
        <v>26182</v>
      </c>
      <c r="G20" s="18">
        <f>IF(AND(F68&lt;&gt;0,26182&lt;&gt;0),IF(100*26182/(F68-0)&lt;0.005,"*",100*26182/(F68-0)),0)</f>
        <v>1.9421825705025921</v>
      </c>
    </row>
    <row r="21" spans="1:7" ht="12.75">
      <c r="A21" s="11" t="s">
        <v>103</v>
      </c>
      <c r="B21" s="17">
        <v>8508</v>
      </c>
      <c r="C21" s="17">
        <v>0</v>
      </c>
      <c r="D21" s="17">
        <v>8508</v>
      </c>
      <c r="E21" s="17">
        <v>8508</v>
      </c>
      <c r="F21" s="17">
        <v>8508</v>
      </c>
      <c r="G21" s="18">
        <f>IF(AND(F68&lt;&gt;0,8508&lt;&gt;0),IF(100*8508/(F68-0)&lt;0.005,"*",100*8508/(F68-0)),0)</f>
        <v>0.6311240283338192</v>
      </c>
    </row>
    <row r="22" spans="1:7" ht="12.75">
      <c r="A22" s="11" t="s">
        <v>104</v>
      </c>
      <c r="B22" s="17">
        <v>9812</v>
      </c>
      <c r="C22" s="17">
        <v>0</v>
      </c>
      <c r="D22" s="17">
        <v>9812</v>
      </c>
      <c r="E22" s="17">
        <v>9812</v>
      </c>
      <c r="F22" s="17">
        <v>9812</v>
      </c>
      <c r="G22" s="18">
        <f>IF(AND(F68&lt;&gt;0,9812&lt;&gt;0),IF(100*9812/(F68-0)&lt;0.005,"*",100*9812/(F68-0)),0)</f>
        <v>0.7278548385062804</v>
      </c>
    </row>
    <row r="23" spans="1:7" ht="12.75">
      <c r="A23" s="11" t="s">
        <v>105</v>
      </c>
      <c r="B23" s="17">
        <v>16702</v>
      </c>
      <c r="C23" s="17">
        <v>0</v>
      </c>
      <c r="D23" s="17">
        <v>16702</v>
      </c>
      <c r="E23" s="17">
        <v>16702</v>
      </c>
      <c r="F23" s="17">
        <v>16702</v>
      </c>
      <c r="G23" s="18">
        <f>IF(AND(F68&lt;&gt;0,16702&lt;&gt;0),IF(100*16702/(F68-0)&lt;0.005,"*",100*16702/(F68-0)),0)</f>
        <v>1.238955514954331</v>
      </c>
    </row>
    <row r="24" spans="1:7" ht="12.75">
      <c r="A24" s="11" t="s">
        <v>106</v>
      </c>
      <c r="B24" s="17">
        <v>13865</v>
      </c>
      <c r="C24" s="17">
        <v>0</v>
      </c>
      <c r="D24" s="17">
        <v>13865</v>
      </c>
      <c r="E24" s="17">
        <v>13865</v>
      </c>
      <c r="F24" s="17">
        <v>13865</v>
      </c>
      <c r="G24" s="18">
        <f>IF(AND(F68&lt;&gt;0,13865&lt;&gt;0),IF(100*13865/(F68-0)&lt;0.005,"*",100*13865/(F68-0)),0)</f>
        <v>1.0285066587739073</v>
      </c>
    </row>
    <row r="25" spans="1:7" ht="12.75">
      <c r="A25" s="11" t="s">
        <v>107</v>
      </c>
      <c r="B25" s="17">
        <v>3019</v>
      </c>
      <c r="C25" s="17">
        <v>0</v>
      </c>
      <c r="D25" s="17">
        <v>3019</v>
      </c>
      <c r="E25" s="17">
        <v>3019</v>
      </c>
      <c r="F25" s="17">
        <v>3019</v>
      </c>
      <c r="G25" s="18">
        <f>IF(AND(F68&lt;&gt;0,3019&lt;&gt;0),IF(100*3019/(F68-0)&lt;0.005,"*",100*3019/(F68-0)),0)</f>
        <v>0.22394962876584393</v>
      </c>
    </row>
    <row r="26" spans="1:7" ht="12.75">
      <c r="A26" s="11" t="s">
        <v>108</v>
      </c>
      <c r="B26" s="17">
        <v>23301</v>
      </c>
      <c r="C26" s="17">
        <v>0</v>
      </c>
      <c r="D26" s="17">
        <v>23301</v>
      </c>
      <c r="E26" s="17">
        <v>23301</v>
      </c>
      <c r="F26" s="17">
        <v>23301</v>
      </c>
      <c r="G26" s="18">
        <f>IF(AND(F68&lt;&gt;0,23301&lt;&gt;0),IF(100*23301/(F68-0)&lt;0.005,"*",100*23301/(F68-0)),0)</f>
        <v>1.7284697912795395</v>
      </c>
    </row>
    <row r="27" spans="1:7" ht="12.75">
      <c r="A27" s="11" t="s">
        <v>109</v>
      </c>
      <c r="B27" s="17">
        <v>44973</v>
      </c>
      <c r="C27" s="17">
        <v>0</v>
      </c>
      <c r="D27" s="17">
        <v>44973</v>
      </c>
      <c r="E27" s="17">
        <v>44973</v>
      </c>
      <c r="F27" s="17">
        <v>44973</v>
      </c>
      <c r="G27" s="18">
        <f>IF(AND(F68&lt;&gt;0,44973&lt;&gt;0),IF(100*44973/(F68-0)&lt;0.005,"*",100*44973/(F68-0)),0)</f>
        <v>3.336100249912653</v>
      </c>
    </row>
    <row r="28" spans="1:7" ht="12.75">
      <c r="A28" s="11" t="s">
        <v>110</v>
      </c>
      <c r="B28" s="17">
        <v>32082</v>
      </c>
      <c r="C28" s="17">
        <v>0</v>
      </c>
      <c r="D28" s="17">
        <v>32082</v>
      </c>
      <c r="E28" s="17">
        <v>32082</v>
      </c>
      <c r="F28" s="17">
        <v>32082</v>
      </c>
      <c r="G28" s="18">
        <f>IF(AND(F68&lt;&gt;0,32082&lt;&gt;0),IF(100*32082/(F68-0)&lt;0.005,"*",100*32082/(F68-0)),0)</f>
        <v>2.379844978491489</v>
      </c>
    </row>
    <row r="29" spans="1:7" ht="12.75">
      <c r="A29" s="11" t="s">
        <v>111</v>
      </c>
      <c r="B29" s="17">
        <v>23368</v>
      </c>
      <c r="C29" s="17">
        <v>0</v>
      </c>
      <c r="D29" s="17">
        <v>23368</v>
      </c>
      <c r="E29" s="17">
        <v>23368</v>
      </c>
      <c r="F29" s="17">
        <v>23368</v>
      </c>
      <c r="G29" s="18">
        <f>IF(AND(F68&lt;&gt;0,23368&lt;&gt;0),IF(100*23368/(F68-0)&lt;0.005,"*",100*23368/(F68-0)),0)</f>
        <v>1.7334398559126336</v>
      </c>
    </row>
    <row r="30" spans="1:7" ht="12.75">
      <c r="A30" s="11" t="s">
        <v>112</v>
      </c>
      <c r="B30" s="17">
        <v>6293</v>
      </c>
      <c r="C30" s="17">
        <v>0</v>
      </c>
      <c r="D30" s="17">
        <v>6293</v>
      </c>
      <c r="E30" s="17">
        <v>6293</v>
      </c>
      <c r="F30" s="17">
        <v>6293</v>
      </c>
      <c r="G30" s="18">
        <f>IF(AND(F68&lt;&gt;0,6293&lt;&gt;0),IF(100*6293/(F68-0)&lt;0.005,"*",100*6293/(F68-0)),0)</f>
        <v>0.4668151751651063</v>
      </c>
    </row>
    <row r="31" spans="1:7" ht="12.75">
      <c r="A31" s="11" t="s">
        <v>113</v>
      </c>
      <c r="B31" s="17">
        <v>24668</v>
      </c>
      <c r="C31" s="17">
        <v>0</v>
      </c>
      <c r="D31" s="17">
        <v>24668</v>
      </c>
      <c r="E31" s="17">
        <v>24668</v>
      </c>
      <c r="F31" s="17">
        <v>24668</v>
      </c>
      <c r="G31" s="18">
        <f>IF(AND(F68&lt;&gt;0,24668&lt;&gt;0),IF(100*24668/(F68-0)&lt;0.005,"*",100*24668/(F68-0)),0)</f>
        <v>1.8298739458084923</v>
      </c>
    </row>
    <row r="32" spans="1:7" ht="12.75">
      <c r="A32" s="11" t="s">
        <v>114</v>
      </c>
      <c r="B32" s="17">
        <v>3191</v>
      </c>
      <c r="C32" s="17">
        <v>0</v>
      </c>
      <c r="D32" s="17">
        <v>3191</v>
      </c>
      <c r="E32" s="17">
        <v>3191</v>
      </c>
      <c r="F32" s="17">
        <v>3191</v>
      </c>
      <c r="G32" s="18">
        <f>IF(AND(F68&lt;&gt;0,3191&lt;&gt;0),IF(100*3191/(F68-0)&lt;0.005,"*",100*3191/(F68-0)),0)</f>
        <v>0.23670860065975755</v>
      </c>
    </row>
    <row r="33" spans="1:7" ht="12.75">
      <c r="A33" s="11" t="s">
        <v>115</v>
      </c>
      <c r="B33" s="17">
        <v>10595</v>
      </c>
      <c r="C33" s="17">
        <v>0</v>
      </c>
      <c r="D33" s="17">
        <v>10595</v>
      </c>
      <c r="E33" s="17">
        <v>10595</v>
      </c>
      <c r="F33" s="17">
        <v>10595</v>
      </c>
      <c r="G33" s="18">
        <f>IF(AND(F68&lt;&gt;0,10595&lt;&gt;0),IF(100*10595/(F68-0)&lt;0.005,"*",100*10595/(F68-0)),0)</f>
        <v>0.7859378326512476</v>
      </c>
    </row>
    <row r="34" spans="1:7" ht="12.75">
      <c r="A34" s="11" t="s">
        <v>116</v>
      </c>
      <c r="B34" s="17">
        <v>2580</v>
      </c>
      <c r="C34" s="17">
        <v>0</v>
      </c>
      <c r="D34" s="17">
        <v>2580</v>
      </c>
      <c r="E34" s="17">
        <v>2580</v>
      </c>
      <c r="F34" s="17">
        <v>2580</v>
      </c>
      <c r="G34" s="18">
        <f>IF(AND(F68&lt;&gt;0,2580&lt;&gt;0),IF(100*2580/(F68-0)&lt;0.005,"*",100*2580/(F68-0)),0)</f>
        <v>0.191384578408704</v>
      </c>
    </row>
    <row r="35" spans="1:7" ht="12.75">
      <c r="A35" s="11" t="s">
        <v>117</v>
      </c>
      <c r="B35" s="17">
        <v>4582</v>
      </c>
      <c r="C35" s="17">
        <v>0</v>
      </c>
      <c r="D35" s="17">
        <v>4582</v>
      </c>
      <c r="E35" s="17">
        <v>4582</v>
      </c>
      <c r="F35" s="17">
        <v>4582</v>
      </c>
      <c r="G35" s="18">
        <f>IF(AND(F68&lt;&gt;0,4582&lt;&gt;0),IF(100*4582/(F68-0)&lt;0.005,"*",100*4582/(F68-0)),0)</f>
        <v>0.33989307684832626</v>
      </c>
    </row>
    <row r="36" spans="1:7" ht="12.75">
      <c r="A36" s="11" t="s">
        <v>118</v>
      </c>
      <c r="B36" s="17">
        <v>26374</v>
      </c>
      <c r="C36" s="17">
        <v>0</v>
      </c>
      <c r="D36" s="17">
        <v>26374</v>
      </c>
      <c r="E36" s="17">
        <v>26374</v>
      </c>
      <c r="F36" s="17">
        <v>26374</v>
      </c>
      <c r="G36" s="18">
        <f>IF(AND(F68&lt;&gt;0,26374&lt;&gt;0),IF(100*26374/(F68-0)&lt;0.005,"*",100*26374/(F68-0)),0)</f>
        <v>1.956425143779519</v>
      </c>
    </row>
    <row r="37" spans="1:7" ht="12.75">
      <c r="A37" s="11" t="s">
        <v>119</v>
      </c>
      <c r="B37" s="17">
        <v>8308</v>
      </c>
      <c r="C37" s="17">
        <v>0</v>
      </c>
      <c r="D37" s="17">
        <v>8308</v>
      </c>
      <c r="E37" s="17">
        <v>8308</v>
      </c>
      <c r="F37" s="17">
        <v>8308</v>
      </c>
      <c r="G37" s="18">
        <f>IF(AND(F68&lt;&gt;0,8308&lt;&gt;0),IF(100*8308/(F68-0)&lt;0.005,"*",100*8308/(F68-0)),0)</f>
        <v>0.6162880145036871</v>
      </c>
    </row>
    <row r="38" spans="1:7" ht="12.75">
      <c r="A38" s="11" t="s">
        <v>120</v>
      </c>
      <c r="B38" s="17">
        <v>101984</v>
      </c>
      <c r="C38" s="17">
        <v>0</v>
      </c>
      <c r="D38" s="17">
        <v>101984</v>
      </c>
      <c r="E38" s="17">
        <v>101984</v>
      </c>
      <c r="F38" s="17">
        <v>101984</v>
      </c>
      <c r="G38" s="18">
        <f>IF(AND(F68&lt;&gt;0,101984&lt;&gt;0),IF(100*101984/(F68-0)&lt;0.005,"*",100*101984/(F68-0)),0)</f>
        <v>7.565180172260956</v>
      </c>
    </row>
    <row r="39" spans="1:7" ht="12.75">
      <c r="A39" s="11" t="s">
        <v>121</v>
      </c>
      <c r="B39" s="17">
        <v>69639</v>
      </c>
      <c r="C39" s="17">
        <v>0</v>
      </c>
      <c r="D39" s="17">
        <v>69639</v>
      </c>
      <c r="E39" s="17">
        <v>69639</v>
      </c>
      <c r="F39" s="17">
        <v>69639</v>
      </c>
      <c r="G39" s="18">
        <f>IF(AND(F68&lt;&gt;0,69639&lt;&gt;0),IF(100*69639/(F68-0)&lt;0.005,"*",100*69639/(F68-0)),0)</f>
        <v>5.165825835582844</v>
      </c>
    </row>
    <row r="40" spans="1:7" ht="12.75">
      <c r="A40" s="11" t="s">
        <v>122</v>
      </c>
      <c r="B40" s="17">
        <v>2506</v>
      </c>
      <c r="C40" s="17">
        <v>0</v>
      </c>
      <c r="D40" s="17">
        <v>2506</v>
      </c>
      <c r="E40" s="17">
        <v>2506</v>
      </c>
      <c r="F40" s="17">
        <v>2506</v>
      </c>
      <c r="G40" s="18">
        <f>IF(AND(F68&lt;&gt;0,2506&lt;&gt;0),IF(100*2506/(F68-0)&lt;0.005,"*",100*2506/(F68-0)),0)</f>
        <v>0.18589525329155512</v>
      </c>
    </row>
    <row r="41" spans="1:7" ht="12.75">
      <c r="A41" s="11" t="s">
        <v>123</v>
      </c>
      <c r="B41" s="17">
        <v>70125</v>
      </c>
      <c r="C41" s="17">
        <v>0</v>
      </c>
      <c r="D41" s="17">
        <v>70125</v>
      </c>
      <c r="E41" s="17">
        <v>70125</v>
      </c>
      <c r="F41" s="17">
        <v>70125</v>
      </c>
      <c r="G41" s="18">
        <f>IF(AND(F68&lt;&gt;0,70125&lt;&gt;0),IF(100*70125/(F68-0)&lt;0.005,"*",100*70125/(F68-0)),0)</f>
        <v>5.201877349190065</v>
      </c>
    </row>
    <row r="42" spans="1:7" ht="12.75">
      <c r="A42" s="11" t="s">
        <v>124</v>
      </c>
      <c r="B42" s="17">
        <v>24910</v>
      </c>
      <c r="C42" s="17">
        <v>0</v>
      </c>
      <c r="D42" s="17">
        <v>24910</v>
      </c>
      <c r="E42" s="17">
        <v>24910</v>
      </c>
      <c r="F42" s="17">
        <v>24910</v>
      </c>
      <c r="G42" s="18">
        <f>IF(AND(F68&lt;&gt;0,24910&lt;&gt;0),IF(100*24910/(F68-0)&lt;0.005,"*",100*24910/(F68-0)),0)</f>
        <v>1.847825522542952</v>
      </c>
    </row>
    <row r="43" spans="1:7" ht="12.75">
      <c r="A43" s="11" t="s">
        <v>125</v>
      </c>
      <c r="B43" s="17">
        <v>19409</v>
      </c>
      <c r="C43" s="17">
        <v>0</v>
      </c>
      <c r="D43" s="17">
        <v>19409</v>
      </c>
      <c r="E43" s="17">
        <v>19409</v>
      </c>
      <c r="F43" s="17">
        <v>19409</v>
      </c>
      <c r="G43" s="18">
        <f>IF(AND(F68&lt;&gt;0,19409&lt;&gt;0),IF(100*19409/(F68-0)&lt;0.005,"*",100*19409/(F68-0)),0)</f>
        <v>1.439760962145169</v>
      </c>
    </row>
    <row r="44" spans="1:7" ht="12.75">
      <c r="A44" s="11" t="s">
        <v>126</v>
      </c>
      <c r="B44" s="17">
        <v>55337</v>
      </c>
      <c r="C44" s="17">
        <v>0</v>
      </c>
      <c r="D44" s="17">
        <v>55337</v>
      </c>
      <c r="E44" s="17">
        <v>55337</v>
      </c>
      <c r="F44" s="17">
        <v>55337</v>
      </c>
      <c r="G44" s="18">
        <f>IF(AND(F68&lt;&gt;0,55337&lt;&gt;0),IF(100*55337/(F68-0)&lt;0.005,"*",100*55337/(F68-0)),0)</f>
        <v>4.104902486590098</v>
      </c>
    </row>
    <row r="45" spans="1:7" ht="12.75">
      <c r="A45" s="11" t="s">
        <v>127</v>
      </c>
      <c r="B45" s="17">
        <v>6634</v>
      </c>
      <c r="C45" s="17">
        <v>0</v>
      </c>
      <c r="D45" s="17">
        <v>6634</v>
      </c>
      <c r="E45" s="17">
        <v>6634</v>
      </c>
      <c r="F45" s="17">
        <v>6634</v>
      </c>
      <c r="G45" s="18">
        <f>IF(AND(F68&lt;&gt;0,6634&lt;&gt;0),IF(100*6634/(F68-0)&lt;0.005,"*",100*6634/(F68-0)),0)</f>
        <v>0.49211057874548153</v>
      </c>
    </row>
    <row r="46" spans="1:7" ht="12.75">
      <c r="A46" s="11" t="s">
        <v>128</v>
      </c>
      <c r="B46" s="17">
        <v>9867</v>
      </c>
      <c r="C46" s="17">
        <v>0</v>
      </c>
      <c r="D46" s="17">
        <v>9867</v>
      </c>
      <c r="E46" s="17">
        <v>9867</v>
      </c>
      <c r="F46" s="17">
        <v>9867</v>
      </c>
      <c r="G46" s="18">
        <f>IF(AND(F68&lt;&gt;0,9867&lt;&gt;0),IF(100*9867/(F68-0)&lt;0.005,"*",100*9867/(F68-0)),0)</f>
        <v>0.7319347423095668</v>
      </c>
    </row>
    <row r="47" spans="1:7" ht="12.75">
      <c r="A47" s="11" t="s">
        <v>129</v>
      </c>
      <c r="B47" s="17">
        <v>1711</v>
      </c>
      <c r="C47" s="17">
        <v>0</v>
      </c>
      <c r="D47" s="17">
        <v>1711</v>
      </c>
      <c r="E47" s="17">
        <v>1711</v>
      </c>
      <c r="F47" s="17">
        <v>1711</v>
      </c>
      <c r="G47" s="18">
        <f>IF(AND(F68&lt;&gt;0,1711&lt;&gt;0),IF(100*1711/(F68-0)&lt;0.005,"*",100*1711/(F68-0)),0)</f>
        <v>0.12692209831678006</v>
      </c>
    </row>
    <row r="48" spans="1:7" ht="12.75">
      <c r="A48" s="11" t="s">
        <v>130</v>
      </c>
      <c r="B48" s="17">
        <v>37702</v>
      </c>
      <c r="C48" s="17">
        <v>0</v>
      </c>
      <c r="D48" s="17">
        <v>37702</v>
      </c>
      <c r="E48" s="17">
        <v>37702</v>
      </c>
      <c r="F48" s="17">
        <v>37702</v>
      </c>
      <c r="G48" s="18">
        <f>IF(AND(F68&lt;&gt;0,37702&lt;&gt;0),IF(100*37702/(F68-0)&lt;0.005,"*",100*37702/(F68-0)),0)</f>
        <v>2.7967369671182007</v>
      </c>
    </row>
    <row r="49" spans="1:7" ht="12.75">
      <c r="A49" s="11" t="s">
        <v>131</v>
      </c>
      <c r="B49" s="17">
        <v>59844</v>
      </c>
      <c r="C49" s="17">
        <v>0</v>
      </c>
      <c r="D49" s="17">
        <v>59844</v>
      </c>
      <c r="E49" s="17">
        <v>59844</v>
      </c>
      <c r="F49" s="17">
        <v>59844</v>
      </c>
      <c r="G49" s="18">
        <f>IF(AND(F68&lt;&gt;0,59844&lt;&gt;0),IF(100*59844/(F68-0)&lt;0.005,"*",100*59844/(F68-0)),0)</f>
        <v>4.4392320582521245</v>
      </c>
    </row>
    <row r="50" spans="1:7" ht="12.75">
      <c r="A50" s="11" t="s">
        <v>132</v>
      </c>
      <c r="B50" s="17">
        <v>12591</v>
      </c>
      <c r="C50" s="17">
        <v>0</v>
      </c>
      <c r="D50" s="17">
        <v>12591</v>
      </c>
      <c r="E50" s="17">
        <v>12591</v>
      </c>
      <c r="F50" s="17">
        <v>12591</v>
      </c>
      <c r="G50" s="18">
        <f>IF(AND(F68&lt;&gt;0,12591&lt;&gt;0),IF(100*12591/(F68-0)&lt;0.005,"*",100*12591/(F68-0)),0)</f>
        <v>0.9340012506759658</v>
      </c>
    </row>
    <row r="51" spans="1:7" ht="12.75">
      <c r="A51" s="11" t="s">
        <v>133</v>
      </c>
      <c r="B51" s="17">
        <v>3945</v>
      </c>
      <c r="C51" s="17">
        <v>0</v>
      </c>
      <c r="D51" s="17">
        <v>3945</v>
      </c>
      <c r="E51" s="17">
        <v>3945</v>
      </c>
      <c r="F51" s="17">
        <v>3945</v>
      </c>
      <c r="G51" s="18">
        <f>IF(AND(F68&lt;&gt;0,3945&lt;&gt;0),IF(100*3945/(F68-0)&lt;0.005,"*",100*3945/(F68-0)),0)</f>
        <v>0.2926403727993555</v>
      </c>
    </row>
    <row r="52" spans="1:7" ht="12.75">
      <c r="A52" s="11" t="s">
        <v>134</v>
      </c>
      <c r="B52" s="17">
        <v>21329</v>
      </c>
      <c r="C52" s="17">
        <v>0</v>
      </c>
      <c r="D52" s="17">
        <v>21329</v>
      </c>
      <c r="E52" s="17">
        <v>21329</v>
      </c>
      <c r="F52" s="17">
        <v>21329</v>
      </c>
      <c r="G52" s="18">
        <f>IF(AND(F68&lt;&gt;0,21329&lt;&gt;0),IF(100*21329/(F68-0)&lt;0.005,"*",100*21329/(F68-0)),0)</f>
        <v>1.582186694914437</v>
      </c>
    </row>
    <row r="53" spans="1:7" ht="12.75">
      <c r="A53" s="11" t="s">
        <v>135</v>
      </c>
      <c r="B53" s="17">
        <v>41883</v>
      </c>
      <c r="C53" s="17">
        <v>0</v>
      </c>
      <c r="D53" s="17">
        <v>41883</v>
      </c>
      <c r="E53" s="17">
        <v>41883</v>
      </c>
      <c r="F53" s="17">
        <v>41883</v>
      </c>
      <c r="G53" s="18">
        <f>IF(AND(F68&lt;&gt;0,41883&lt;&gt;0),IF(100*41883/(F68-0)&lt;0.005,"*",100*41883/(F68-0)),0)</f>
        <v>3.1068838362371123</v>
      </c>
    </row>
    <row r="54" spans="1:7" ht="12.75">
      <c r="A54" s="11" t="s">
        <v>136</v>
      </c>
      <c r="B54" s="17">
        <v>8727</v>
      </c>
      <c r="C54" s="17">
        <v>0</v>
      </c>
      <c r="D54" s="17">
        <v>8727</v>
      </c>
      <c r="E54" s="17">
        <v>8727</v>
      </c>
      <c r="F54" s="17">
        <v>8727</v>
      </c>
      <c r="G54" s="18">
        <f>IF(AND(F68&lt;&gt;0,8727&lt;&gt;0),IF(100*8727/(F68-0)&lt;0.005,"*",100*8727/(F68-0)),0)</f>
        <v>0.6473694634778139</v>
      </c>
    </row>
    <row r="55" spans="1:7" ht="12.75">
      <c r="A55" s="11" t="s">
        <v>137</v>
      </c>
      <c r="B55" s="17">
        <v>24511</v>
      </c>
      <c r="C55" s="17">
        <v>0</v>
      </c>
      <c r="D55" s="17">
        <v>24511</v>
      </c>
      <c r="E55" s="17">
        <v>24511</v>
      </c>
      <c r="F55" s="17">
        <v>24511</v>
      </c>
      <c r="G55" s="18">
        <f>IF(AND(F68&lt;&gt;0,24511&lt;&gt;0),IF(100*24511/(F68-0)&lt;0.005,"*",100*24511/(F68-0)),0)</f>
        <v>1.8182276749518387</v>
      </c>
    </row>
    <row r="56" spans="1:7" ht="12.75">
      <c r="A56" s="11" t="s">
        <v>138</v>
      </c>
      <c r="B56" s="17">
        <v>2815</v>
      </c>
      <c r="C56" s="17">
        <v>0</v>
      </c>
      <c r="D56" s="17">
        <v>2815</v>
      </c>
      <c r="E56" s="17">
        <v>2815</v>
      </c>
      <c r="F56" s="17">
        <v>2815</v>
      </c>
      <c r="G56" s="18">
        <f>IF(AND(F68&lt;&gt;0,2815&lt;&gt;0),IF(100*2815/(F68-0)&lt;0.005,"*",100*2815/(F68-0)),0)</f>
        <v>0.20881689465910921</v>
      </c>
    </row>
    <row r="57" spans="1:7" ht="12.75">
      <c r="A57" s="11" t="s">
        <v>139</v>
      </c>
      <c r="B57" s="17">
        <v>0</v>
      </c>
      <c r="C57" s="17">
        <v>0</v>
      </c>
      <c r="D57" s="17">
        <v>0</v>
      </c>
      <c r="E57" s="17">
        <v>0</v>
      </c>
      <c r="F57" s="17">
        <v>0</v>
      </c>
      <c r="G57" s="18">
        <f>IF(AND(F68&lt;&gt;0,0&lt;&gt;0),IF(100*0/(F68-0)&lt;0.005,"*",100*0/(F68-0)),0)</f>
        <v>0</v>
      </c>
    </row>
    <row r="58" spans="1:7" ht="12.75">
      <c r="A58" s="11" t="s">
        <v>140</v>
      </c>
      <c r="B58" s="17">
        <v>0</v>
      </c>
      <c r="C58" s="17">
        <v>0</v>
      </c>
      <c r="D58" s="17">
        <v>0</v>
      </c>
      <c r="E58" s="17">
        <v>0</v>
      </c>
      <c r="F58" s="17">
        <v>0</v>
      </c>
      <c r="G58" s="18">
        <f>IF(AND(F68&lt;&gt;0,0&lt;&gt;0),IF(100*0/(F68-0)&lt;0.005,"*",100*0/(F68-0)),0)</f>
        <v>0</v>
      </c>
    </row>
    <row r="59" spans="1:7" ht="12.75">
      <c r="A59" s="11" t="s">
        <v>141</v>
      </c>
      <c r="B59" s="17">
        <v>0</v>
      </c>
      <c r="C59" s="17">
        <v>0</v>
      </c>
      <c r="D59" s="17">
        <v>0</v>
      </c>
      <c r="E59" s="17">
        <v>0</v>
      </c>
      <c r="F59" s="17">
        <v>0</v>
      </c>
      <c r="G59" s="18">
        <f>IF(AND(F68&lt;&gt;0,0&lt;&gt;0),IF(100*0/(F68-0)&lt;0.005,"*",100*0/(F68-0)),0)</f>
        <v>0</v>
      </c>
    </row>
    <row r="60" spans="1:7" ht="12.75">
      <c r="A60" s="11" t="s">
        <v>142</v>
      </c>
      <c r="B60" s="17">
        <v>0</v>
      </c>
      <c r="C60" s="17">
        <v>0</v>
      </c>
      <c r="D60" s="17">
        <v>0</v>
      </c>
      <c r="E60" s="17">
        <v>0</v>
      </c>
      <c r="F60" s="17">
        <v>0</v>
      </c>
      <c r="G60" s="18">
        <f>IF(AND(F68&lt;&gt;0,0&lt;&gt;0),IF(100*0/(F68-0)&lt;0.005,"*",100*0/(F68-0)),0)</f>
        <v>0</v>
      </c>
    </row>
    <row r="61" spans="1:7" ht="12.75">
      <c r="A61" s="11" t="s">
        <v>143</v>
      </c>
      <c r="B61" s="17">
        <v>0</v>
      </c>
      <c r="C61" s="17">
        <v>0</v>
      </c>
      <c r="D61" s="17">
        <v>0</v>
      </c>
      <c r="E61" s="17">
        <v>0</v>
      </c>
      <c r="F61" s="17">
        <v>0</v>
      </c>
      <c r="G61" s="18">
        <f>IF(AND(F68&lt;&gt;0,0&lt;&gt;0),IF(100*0/(F68-0)&lt;0.005,"*",100*0/(F68-0)),0)</f>
        <v>0</v>
      </c>
    </row>
    <row r="62" spans="1:7" ht="12.75">
      <c r="A62" s="11" t="s">
        <v>144</v>
      </c>
      <c r="B62" s="17">
        <v>0</v>
      </c>
      <c r="C62" s="17">
        <v>0</v>
      </c>
      <c r="D62" s="17">
        <v>0</v>
      </c>
      <c r="E62" s="17">
        <v>0</v>
      </c>
      <c r="F62" s="17">
        <v>0</v>
      </c>
      <c r="G62" s="18">
        <f>IF(AND(F68&lt;&gt;0,0&lt;&gt;0),IF(100*0/(F68-0)&lt;0.005,"*",100*0/(F68-0)),0)</f>
        <v>0</v>
      </c>
    </row>
    <row r="63" spans="1:7" ht="15">
      <c r="A63" s="11" t="s">
        <v>145</v>
      </c>
      <c r="B63" s="17">
        <v>58340</v>
      </c>
      <c r="C63" s="17">
        <v>0</v>
      </c>
      <c r="D63" s="17">
        <v>58340</v>
      </c>
      <c r="E63" s="17">
        <v>58340</v>
      </c>
      <c r="F63" s="23" t="s">
        <v>200</v>
      </c>
      <c r="G63" s="18">
        <f>IF(AND(F68&lt;&gt;0,131637&lt;&gt;0),IF(100*131637/(F68-0)&lt;0.005,"*",100*131637/(F68-0)),0)</f>
        <v>9.76484176278549</v>
      </c>
    </row>
    <row r="64" spans="1:7" ht="12.75">
      <c r="A64" s="11" t="s">
        <v>146</v>
      </c>
      <c r="B64" s="17">
        <v>0</v>
      </c>
      <c r="C64" s="17">
        <v>0</v>
      </c>
      <c r="D64" s="17">
        <v>0</v>
      </c>
      <c r="E64" s="17">
        <v>0</v>
      </c>
      <c r="F64" s="17">
        <v>0</v>
      </c>
      <c r="G64" s="18">
        <v>0</v>
      </c>
    </row>
    <row r="65" spans="1:7" ht="12.75">
      <c r="A65" s="11" t="s">
        <v>189</v>
      </c>
      <c r="B65" s="17">
        <v>0</v>
      </c>
      <c r="C65" s="17">
        <v>0</v>
      </c>
      <c r="D65" s="17">
        <v>14585</v>
      </c>
      <c r="E65" s="17">
        <v>14585</v>
      </c>
      <c r="F65" s="17">
        <v>32909</v>
      </c>
      <c r="G65" s="18">
        <f>IF(AND(F68&lt;&gt;0,32909&lt;&gt;0),IF(100*32909/(F68-0)&lt;0.005,"*",100*32909/(F68-0)),0)</f>
        <v>2.441191895679085</v>
      </c>
    </row>
    <row r="66" spans="1:7" ht="12.75">
      <c r="A66" s="11" t="s">
        <v>190</v>
      </c>
      <c r="B66" s="17">
        <v>0</v>
      </c>
      <c r="C66" s="17">
        <v>0</v>
      </c>
      <c r="D66" s="17">
        <v>0</v>
      </c>
      <c r="E66" s="17">
        <v>0</v>
      </c>
      <c r="F66" s="17">
        <v>0</v>
      </c>
      <c r="G66" s="18">
        <f>IF(AND(F68&lt;&gt;0,0&lt;&gt;0),IF(100*0/(F68-0)&lt;0.005,"*",100*0/(F68-0)),0)</f>
        <v>0</v>
      </c>
    </row>
    <row r="67" spans="1:7" ht="12.75">
      <c r="A67" s="11" t="s">
        <v>164</v>
      </c>
      <c r="B67" s="17">
        <v>0</v>
      </c>
      <c r="C67" s="17">
        <v>0</v>
      </c>
      <c r="D67" s="17">
        <v>4000</v>
      </c>
      <c r="E67" s="17">
        <v>4000</v>
      </c>
      <c r="F67" s="17">
        <v>6000</v>
      </c>
      <c r="G67" s="18">
        <f>IF(AND(F68&lt;&gt;0,6000&lt;&gt;0),IF(100*6000/(F68-0)&lt;0.005,"*",100*6000/(F68-0)),0)</f>
        <v>0.4450804149039628</v>
      </c>
    </row>
    <row r="68" spans="1:7" ht="15" customHeight="1">
      <c r="A68" s="19" t="s">
        <v>87</v>
      </c>
      <c r="B68" s="20">
        <f>16442+3545+19827+5300+85593+10174+18738+5179+4567+43026+36548+4972+2868+56874+26182+8508+9812+16702+13865+3019+23301+44973+32082+23368+6293+24668+3191+10595+2580+4582+26374+8308+101984+69639+2506+70125+24910+19409+55337+6634+9867+1711+37702+59844+12591+3945+21329+41883+8727+24511+2815+0+0+0+0+0+0+58340+0+0+0+0+0+0+0+0</f>
        <v>1235865</v>
      </c>
      <c r="C68" s="20">
        <f>0+0+0+0+0+0+0+0+0+0+0+0+0+0+0+0+0+0+0+0+0+0+0+0+0+0+0+0+0+0+0+0+0+0+0+0+0+0+0+0+0+0+0+0+0+0+0+0+0+0+0+0+0+0+0+0+0+0+0+0+0+0+0+0+0+0</f>
        <v>0</v>
      </c>
      <c r="D68" s="20">
        <f>16442+3545+19827+5300+85593+10174+18738+5179+4567+43026+36548+4972+2868+56874+26182+8508+9812+16702+13865+3019+23301+44973+32082+23368+6293+24668+3191+10595+2580+4582+26374+8308+101984+69639+2506+70125+24910+19409+55337+6634+9867+1711+37702+59844+12591+3945+21329+41883+8727+24511+2815+0+0+0+0+0+0+58340+0+0+0+0+14585+0+4000+0</f>
        <v>1254450</v>
      </c>
      <c r="E68" s="20">
        <f>SUM(C68:D68)</f>
        <v>1254450</v>
      </c>
      <c r="F68" s="20">
        <f>16442+3545+19827+5300+85593+10174+18738+5179+4567+43026+36548+4972+2868+56874+26182+8508+9812+16702+13865+3019+23301+44973+32082+23368+6293+24668+3191+10595+2580+4582+26374+8308+101984+69639+2506+70125+24910+19409+55337+6634+9867+1711+37702+59844+12591+3945+21329+41883+8727+24511+2815+0+0+0+0+0+0+131637+0+0+0+0+32909+0+6000+0</f>
        <v>1348071</v>
      </c>
      <c r="G68" s="21" t="s">
        <v>201</v>
      </c>
    </row>
    <row r="69" spans="1:7" ht="15" customHeight="1">
      <c r="A69" s="33" t="s">
        <v>148</v>
      </c>
      <c r="B69" s="33"/>
      <c r="C69" s="33"/>
      <c r="D69" s="33"/>
      <c r="E69" s="33"/>
      <c r="F69" s="33"/>
      <c r="G69" s="33"/>
    </row>
    <row r="70" spans="1:7" ht="28.5" customHeight="1">
      <c r="A70" s="26" t="s">
        <v>417</v>
      </c>
      <c r="B70" s="26"/>
      <c r="C70" s="26"/>
      <c r="D70" s="26"/>
      <c r="E70" s="26"/>
      <c r="F70" s="26"/>
      <c r="G70" s="26"/>
    </row>
    <row r="71" spans="1:7" ht="15" customHeight="1">
      <c r="A71" s="26" t="s">
        <v>202</v>
      </c>
      <c r="B71" s="26"/>
      <c r="C71" s="26"/>
      <c r="D71" s="26"/>
      <c r="E71" s="26"/>
      <c r="F71" s="26"/>
      <c r="G71" s="26"/>
    </row>
  </sheetData>
  <sheetProtection/>
  <mergeCells count="7">
    <mergeCell ref="A71:G71"/>
    <mergeCell ref="A4:A5"/>
    <mergeCell ref="B4:B5"/>
    <mergeCell ref="F4:F5"/>
    <mergeCell ref="G4:G5"/>
    <mergeCell ref="A69:G69"/>
    <mergeCell ref="A70:G70"/>
  </mergeCells>
  <printOptions/>
  <pageMargins left="0.7" right="0.7" top="0.75" bottom="0.75" header="0.3" footer="0.3"/>
  <pageSetup fitToHeight="1" fitToWidth="1"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183</v>
      </c>
      <c r="B1" s="10"/>
      <c r="C1" s="10"/>
      <c r="D1" s="10"/>
      <c r="E1" s="10"/>
      <c r="F1" s="10"/>
      <c r="G1" s="12" t="s">
        <v>198</v>
      </c>
    </row>
    <row r="2" spans="1:7" ht="12.75">
      <c r="A2" s="13" t="s">
        <v>203</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25566</v>
      </c>
      <c r="C6" s="17">
        <v>0</v>
      </c>
      <c r="D6" s="17">
        <v>24956</v>
      </c>
      <c r="E6" s="17">
        <v>24956</v>
      </c>
      <c r="F6" s="17">
        <v>78562</v>
      </c>
      <c r="G6" s="18">
        <f>IF(AND(F65&lt;&gt;0,78562&lt;&gt;0),IF(100*78562/(F65-0)&lt;0.005,"*",100*78562/(F65-0)),0)</f>
        <v>1.5010534429059166</v>
      </c>
    </row>
    <row r="7" spans="1:7" ht="12.75">
      <c r="A7" s="11" t="s">
        <v>89</v>
      </c>
      <c r="B7" s="17">
        <v>4350</v>
      </c>
      <c r="C7" s="17">
        <v>0</v>
      </c>
      <c r="D7" s="17">
        <v>4332</v>
      </c>
      <c r="E7" s="17">
        <v>4332</v>
      </c>
      <c r="F7" s="17">
        <v>13639</v>
      </c>
      <c r="G7" s="18">
        <f>IF(AND(F65&lt;&gt;0,13639&lt;&gt;0),IF(100*13639/(F65-0)&lt;0.005,"*",100*13639/(F65-0)),0)</f>
        <v>0.26059504477729434</v>
      </c>
    </row>
    <row r="8" spans="1:7" ht="12.75">
      <c r="A8" s="11" t="s">
        <v>90</v>
      </c>
      <c r="B8" s="17">
        <v>37247</v>
      </c>
      <c r="C8" s="17">
        <v>0</v>
      </c>
      <c r="D8" s="17">
        <v>36710</v>
      </c>
      <c r="E8" s="17">
        <v>36710</v>
      </c>
      <c r="F8" s="17">
        <v>115566</v>
      </c>
      <c r="G8" s="18">
        <f>IF(AND(F65&lt;&gt;0,115566&lt;&gt;0),IF(100*115566/(F65-0)&lt;0.005,"*",100*115566/(F65-0)),0)</f>
        <v>2.2080744148935256</v>
      </c>
    </row>
    <row r="9" spans="1:7" ht="12.75">
      <c r="A9" s="11" t="s">
        <v>91</v>
      </c>
      <c r="B9" s="17">
        <v>16335</v>
      </c>
      <c r="C9" s="17">
        <v>0</v>
      </c>
      <c r="D9" s="17">
        <v>16115</v>
      </c>
      <c r="E9" s="17">
        <v>16115</v>
      </c>
      <c r="F9" s="17">
        <v>50730</v>
      </c>
      <c r="G9" s="18">
        <f>IF(AND(F65&lt;&gt;0,50730&lt;&gt;0),IF(100*50730/(F65-0)&lt;0.005,"*",100*50730/(F65-0)),0)</f>
        <v>0.9692782917774133</v>
      </c>
    </row>
    <row r="10" spans="1:7" ht="12.75">
      <c r="A10" s="11" t="s">
        <v>92</v>
      </c>
      <c r="B10" s="17">
        <v>209910</v>
      </c>
      <c r="C10" s="17">
        <v>0</v>
      </c>
      <c r="D10" s="17">
        <v>207266</v>
      </c>
      <c r="E10" s="17">
        <v>207266</v>
      </c>
      <c r="F10" s="17">
        <v>652487</v>
      </c>
      <c r="G10" s="18">
        <f>IF(AND(F65&lt;&gt;0,652487&lt;&gt;0),IF(100*652487/(F65-0)&lt;0.005,"*",100*652487/(F65-0)),0)</f>
        <v>12.466814207903983</v>
      </c>
    </row>
    <row r="11" spans="1:7" ht="12.75">
      <c r="A11" s="11" t="s">
        <v>93</v>
      </c>
      <c r="B11" s="17">
        <v>28612</v>
      </c>
      <c r="C11" s="17">
        <v>0</v>
      </c>
      <c r="D11" s="17">
        <v>28411</v>
      </c>
      <c r="E11" s="17">
        <v>28411</v>
      </c>
      <c r="F11" s="17">
        <v>89438</v>
      </c>
      <c r="G11" s="18">
        <f>IF(AND(F65&lt;&gt;0,89438&lt;&gt;0),IF(100*89438/(F65-0)&lt;0.005,"*",100*89438/(F65-0)),0)</f>
        <v>1.7088569260790123</v>
      </c>
    </row>
    <row r="12" spans="1:7" ht="12.75">
      <c r="A12" s="11" t="s">
        <v>94</v>
      </c>
      <c r="B12" s="17">
        <v>17492</v>
      </c>
      <c r="C12" s="17">
        <v>0</v>
      </c>
      <c r="D12" s="17">
        <v>17134</v>
      </c>
      <c r="E12" s="17">
        <v>17134</v>
      </c>
      <c r="F12" s="17">
        <v>53938</v>
      </c>
      <c r="G12" s="18">
        <f>IF(AND(F65&lt;&gt;0,53938&lt;&gt;0),IF(100*53938/(F65-0)&lt;0.005,"*",100*53938/(F65-0)),0)</f>
        <v>1.0305722945375542</v>
      </c>
    </row>
    <row r="13" spans="1:7" ht="12.75">
      <c r="A13" s="11" t="s">
        <v>95</v>
      </c>
      <c r="B13" s="17">
        <v>4691</v>
      </c>
      <c r="C13" s="17">
        <v>0</v>
      </c>
      <c r="D13" s="17">
        <v>4638</v>
      </c>
      <c r="E13" s="17">
        <v>4638</v>
      </c>
      <c r="F13" s="17">
        <v>14602</v>
      </c>
      <c r="G13" s="18">
        <f>IF(AND(F65&lt;&gt;0,14602&lt;&gt;0),IF(100*14602/(F65-0)&lt;0.005,"*",100*14602/(F65-0)),0)</f>
        <v>0.2789947095709401</v>
      </c>
    </row>
    <row r="14" spans="1:7" ht="12.75">
      <c r="A14" s="11" t="s">
        <v>96</v>
      </c>
      <c r="B14" s="17">
        <v>2644</v>
      </c>
      <c r="C14" s="17">
        <v>0</v>
      </c>
      <c r="D14" s="17">
        <v>2715</v>
      </c>
      <c r="E14" s="17">
        <v>2715</v>
      </c>
      <c r="F14" s="17">
        <v>8547</v>
      </c>
      <c r="G14" s="18">
        <f>IF(AND(F65&lt;&gt;0,8547&lt;&gt;0),IF(100*8547/(F65-0)&lt;0.005,"*",100*8547/(F65-0)),0)</f>
        <v>0.16330419002210825</v>
      </c>
    </row>
    <row r="15" spans="1:7" ht="12.75">
      <c r="A15" s="11" t="s">
        <v>97</v>
      </c>
      <c r="B15" s="17">
        <v>90388</v>
      </c>
      <c r="C15" s="17">
        <v>0</v>
      </c>
      <c r="D15" s="17">
        <v>90182</v>
      </c>
      <c r="E15" s="17">
        <v>90182</v>
      </c>
      <c r="F15" s="17">
        <v>283896</v>
      </c>
      <c r="G15" s="18">
        <f>IF(AND(F65&lt;&gt;0,283896&lt;&gt;0),IF(100*283896/(F65-0)&lt;0.005,"*",100*283896/(F65-0)),0)</f>
        <v>5.424289964960389</v>
      </c>
    </row>
    <row r="16" spans="1:7" ht="12.75">
      <c r="A16" s="11" t="s">
        <v>98</v>
      </c>
      <c r="B16" s="17">
        <v>57280</v>
      </c>
      <c r="C16" s="17">
        <v>0</v>
      </c>
      <c r="D16" s="17">
        <v>56547</v>
      </c>
      <c r="E16" s="17">
        <v>56547</v>
      </c>
      <c r="F16" s="17">
        <v>178013</v>
      </c>
      <c r="G16" s="18">
        <f>IF(AND(F65&lt;&gt;0,178013&lt;&gt;0),IF(100*178013/(F65-0)&lt;0.005,"*",100*178013/(F65-0)),0)</f>
        <v>3.4012248482982983</v>
      </c>
    </row>
    <row r="17" spans="1:7" ht="12.75">
      <c r="A17" s="11" t="s">
        <v>99</v>
      </c>
      <c r="B17" s="17">
        <v>7067</v>
      </c>
      <c r="C17" s="17">
        <v>0</v>
      </c>
      <c r="D17" s="17">
        <v>7138</v>
      </c>
      <c r="E17" s="17">
        <v>7138</v>
      </c>
      <c r="F17" s="17">
        <v>22469</v>
      </c>
      <c r="G17" s="18">
        <f>IF(AND(F65&lt;&gt;0,22469&lt;&gt;0),IF(100*22469/(F65-0)&lt;0.005,"*",100*22469/(F65-0)),0)</f>
        <v>0.42930640524239505</v>
      </c>
    </row>
    <row r="18" spans="1:7" ht="12.75">
      <c r="A18" s="11" t="s">
        <v>100</v>
      </c>
      <c r="B18" s="17">
        <v>9873</v>
      </c>
      <c r="C18" s="17">
        <v>0</v>
      </c>
      <c r="D18" s="17">
        <v>9755</v>
      </c>
      <c r="E18" s="17">
        <v>9755</v>
      </c>
      <c r="F18" s="17">
        <v>30709</v>
      </c>
      <c r="G18" s="18">
        <f>IF(AND(F65&lt;&gt;0,30709&lt;&gt;0),IF(100*30709/(F65-0)&lt;0.005,"*",100*30709/(F65-0)),0)</f>
        <v>0.5867448661973701</v>
      </c>
    </row>
    <row r="19" spans="1:7" ht="12.75">
      <c r="A19" s="11" t="s">
        <v>101</v>
      </c>
      <c r="B19" s="17">
        <v>69418</v>
      </c>
      <c r="C19" s="17">
        <v>0</v>
      </c>
      <c r="D19" s="17">
        <v>67879</v>
      </c>
      <c r="E19" s="17">
        <v>67879</v>
      </c>
      <c r="F19" s="17">
        <v>213686</v>
      </c>
      <c r="G19" s="18">
        <f>IF(AND(F65&lt;&gt;0,213686&lt;&gt;0),IF(100*213686/(F65-0)&lt;0.005,"*",100*213686/(F65-0)),0)</f>
        <v>4.082814923255437</v>
      </c>
    </row>
    <row r="20" spans="1:7" ht="12.75">
      <c r="A20" s="11" t="s">
        <v>102</v>
      </c>
      <c r="B20" s="17">
        <v>36241</v>
      </c>
      <c r="C20" s="17">
        <v>0</v>
      </c>
      <c r="D20" s="17">
        <v>35699</v>
      </c>
      <c r="E20" s="17">
        <v>35699</v>
      </c>
      <c r="F20" s="17">
        <v>112381</v>
      </c>
      <c r="G20" s="18">
        <f>IF(AND(F65&lt;&gt;0,112381&lt;&gt;0),IF(100*112381/(F65-0)&lt;0.005,"*",100*112381/(F65-0)),0)</f>
        <v>2.147219864148186</v>
      </c>
    </row>
    <row r="21" spans="1:7" ht="12.75">
      <c r="A21" s="11" t="s">
        <v>103</v>
      </c>
      <c r="B21" s="17">
        <v>16556</v>
      </c>
      <c r="C21" s="17">
        <v>0</v>
      </c>
      <c r="D21" s="17">
        <v>16414</v>
      </c>
      <c r="E21" s="17">
        <v>16414</v>
      </c>
      <c r="F21" s="17">
        <v>51672</v>
      </c>
      <c r="G21" s="18">
        <f>IF(AND(F65&lt;&gt;0,51672&lt;&gt;0),IF(100*51672/(F65-0)&lt;0.005,"*",100*51672/(F65-0)),0)</f>
        <v>0.987276717774936</v>
      </c>
    </row>
    <row r="22" spans="1:7" ht="12.75">
      <c r="A22" s="11" t="s">
        <v>104</v>
      </c>
      <c r="B22" s="17">
        <v>16767</v>
      </c>
      <c r="C22" s="17">
        <v>0</v>
      </c>
      <c r="D22" s="17">
        <v>16557</v>
      </c>
      <c r="E22" s="17">
        <v>16557</v>
      </c>
      <c r="F22" s="17">
        <v>52124</v>
      </c>
      <c r="G22" s="18">
        <f>IF(AND(F65&lt;&gt;0,52124&lt;&gt;0),IF(100*52124/(F65-0)&lt;0.005,"*",100*52124/(F65-0)),0)</f>
        <v>0.9959129051962525</v>
      </c>
    </row>
    <row r="23" spans="1:7" ht="12.75">
      <c r="A23" s="11" t="s">
        <v>105</v>
      </c>
      <c r="B23" s="17">
        <v>23367</v>
      </c>
      <c r="C23" s="17">
        <v>0</v>
      </c>
      <c r="D23" s="17">
        <v>22977</v>
      </c>
      <c r="E23" s="17">
        <v>22977</v>
      </c>
      <c r="F23" s="17">
        <v>72332</v>
      </c>
      <c r="G23" s="18">
        <f>IF(AND(F65&lt;&gt;0,72332&lt;&gt;0),IF(100*72332/(F65-0)&lt;0.005,"*",100*72332/(F65-0)),0)</f>
        <v>1.3820192667227253</v>
      </c>
    </row>
    <row r="24" spans="1:7" ht="12.75">
      <c r="A24" s="11" t="s">
        <v>106</v>
      </c>
      <c r="B24" s="17">
        <v>25822</v>
      </c>
      <c r="C24" s="17">
        <v>0</v>
      </c>
      <c r="D24" s="17">
        <v>25397</v>
      </c>
      <c r="E24" s="17">
        <v>25397</v>
      </c>
      <c r="F24" s="17">
        <v>79950</v>
      </c>
      <c r="G24" s="18">
        <f>IF(AND(F65&lt;&gt;0,79950&lt;&gt;0),IF(100*79950/(F65-0)&lt;0.005,"*",100*79950/(F65-0)),0)</f>
        <v>1.5275734166687207</v>
      </c>
    </row>
    <row r="25" spans="1:7" ht="12.75">
      <c r="A25" s="11" t="s">
        <v>107</v>
      </c>
      <c r="B25" s="17">
        <v>5898</v>
      </c>
      <c r="C25" s="17">
        <v>0</v>
      </c>
      <c r="D25" s="17">
        <v>5732</v>
      </c>
      <c r="E25" s="17">
        <v>5732</v>
      </c>
      <c r="F25" s="17">
        <v>18045</v>
      </c>
      <c r="G25" s="18">
        <f>IF(AND(F65&lt;&gt;0,18045&lt;&gt;0),IF(100*18045/(F65-0)&lt;0.005,"*",100*18045/(F65-0)),0)</f>
        <v>0.3447787655257919</v>
      </c>
    </row>
    <row r="26" spans="1:7" ht="12.75">
      <c r="A26" s="11" t="s">
        <v>108</v>
      </c>
      <c r="B26" s="17">
        <v>30526</v>
      </c>
      <c r="C26" s="17">
        <v>0</v>
      </c>
      <c r="D26" s="17">
        <v>30357</v>
      </c>
      <c r="E26" s="17">
        <v>30357</v>
      </c>
      <c r="F26" s="17">
        <v>95564</v>
      </c>
      <c r="G26" s="18">
        <f>IF(AND(F65&lt;&gt;0,95564&lt;&gt;0),IF(100*95564/(F65-0)&lt;0.005,"*",100*95564/(F65-0)),0)</f>
        <v>1.8259040148909271</v>
      </c>
    </row>
    <row r="27" spans="1:7" ht="12.75">
      <c r="A27" s="11" t="s">
        <v>109</v>
      </c>
      <c r="B27" s="17">
        <v>31342</v>
      </c>
      <c r="C27" s="17">
        <v>0</v>
      </c>
      <c r="D27" s="17">
        <v>30961</v>
      </c>
      <c r="E27" s="17">
        <v>30961</v>
      </c>
      <c r="F27" s="17">
        <v>97466</v>
      </c>
      <c r="G27" s="18">
        <f>IF(AND(F65&lt;&gt;0,97466&lt;&gt;0),IF(100*97466/(F65-0)&lt;0.005,"*",100*97466/(F65-0)),0)</f>
        <v>1.8622447858540778</v>
      </c>
    </row>
    <row r="28" spans="1:7" ht="12.75">
      <c r="A28" s="11" t="s">
        <v>110</v>
      </c>
      <c r="B28" s="17">
        <v>50475</v>
      </c>
      <c r="C28" s="17">
        <v>0</v>
      </c>
      <c r="D28" s="17">
        <v>49547</v>
      </c>
      <c r="E28" s="17">
        <v>49547</v>
      </c>
      <c r="F28" s="17">
        <v>155977</v>
      </c>
      <c r="G28" s="18">
        <f>IF(AND(F65&lt;&gt;0,155977&lt;&gt;0),IF(100*155977/(F65-0)&lt;0.005,"*",100*155977/(F65-0)),0)</f>
        <v>2.980191604899775</v>
      </c>
    </row>
    <row r="29" spans="1:7" ht="12.75">
      <c r="A29" s="11" t="s">
        <v>111</v>
      </c>
      <c r="B29" s="17">
        <v>29297</v>
      </c>
      <c r="C29" s="17">
        <v>0</v>
      </c>
      <c r="D29" s="17">
        <v>29130</v>
      </c>
      <c r="E29" s="17">
        <v>29130</v>
      </c>
      <c r="F29" s="17">
        <v>91704</v>
      </c>
      <c r="G29" s="18">
        <f>IF(AND(F65&lt;&gt;0,91704&lt;&gt;0),IF(100*91704/(F65-0)&lt;0.005,"*",100*91704/(F65-0)),0)</f>
        <v>1.7521525028416305</v>
      </c>
    </row>
    <row r="30" spans="1:7" ht="12.75">
      <c r="A30" s="11" t="s">
        <v>112</v>
      </c>
      <c r="B30" s="17">
        <v>17109</v>
      </c>
      <c r="C30" s="17">
        <v>0</v>
      </c>
      <c r="D30" s="17">
        <v>16733</v>
      </c>
      <c r="E30" s="17">
        <v>16733</v>
      </c>
      <c r="F30" s="17">
        <v>52675</v>
      </c>
      <c r="G30" s="18">
        <f>IF(AND(F65&lt;&gt;0,52675&lt;&gt;0),IF(100*52675/(F65-0)&lt;0.005,"*",100*52675/(F65-0)),0)</f>
        <v>1.0064406469421496</v>
      </c>
    </row>
    <row r="31" spans="1:7" ht="12.75">
      <c r="A31" s="11" t="s">
        <v>113</v>
      </c>
      <c r="B31" s="17">
        <v>31999</v>
      </c>
      <c r="C31" s="17">
        <v>0</v>
      </c>
      <c r="D31" s="17">
        <v>31586</v>
      </c>
      <c r="E31" s="17">
        <v>31586</v>
      </c>
      <c r="F31" s="17">
        <v>99434</v>
      </c>
      <c r="G31" s="18">
        <f>IF(AND(F65&lt;&gt;0,99434&lt;&gt;0),IF(100*99434/(F65-0)&lt;0.005,"*",100*99434/(F65-0)),0)</f>
        <v>1.8998465930336157</v>
      </c>
    </row>
    <row r="32" spans="1:7" ht="12.75">
      <c r="A32" s="11" t="s">
        <v>114</v>
      </c>
      <c r="B32" s="17">
        <v>5075</v>
      </c>
      <c r="C32" s="17">
        <v>0</v>
      </c>
      <c r="D32" s="17">
        <v>5096</v>
      </c>
      <c r="E32" s="17">
        <v>5096</v>
      </c>
      <c r="F32" s="17">
        <v>16041</v>
      </c>
      <c r="G32" s="18">
        <f>IF(AND(F65&lt;&gt;0,16041&lt;&gt;0),IF(100*16041/(F65-0)&lt;0.005,"*",100*16041/(F65-0)),0)</f>
        <v>0.3064891204100431</v>
      </c>
    </row>
    <row r="33" spans="1:7" ht="12.75">
      <c r="A33" s="11" t="s">
        <v>115</v>
      </c>
      <c r="B33" s="17">
        <v>10812</v>
      </c>
      <c r="C33" s="17">
        <v>0</v>
      </c>
      <c r="D33" s="17">
        <v>10724</v>
      </c>
      <c r="E33" s="17">
        <v>10724</v>
      </c>
      <c r="F33" s="17">
        <v>33760</v>
      </c>
      <c r="G33" s="18">
        <f>IF(AND(F65&lt;&gt;0,33760&lt;&gt;0),IF(100*33760/(F65-0)&lt;0.005,"*",100*33760/(F65-0)),0)</f>
        <v>0.6450391312912571</v>
      </c>
    </row>
    <row r="34" spans="1:7" ht="12.75">
      <c r="A34" s="11" t="s">
        <v>116</v>
      </c>
      <c r="B34" s="17">
        <v>15225</v>
      </c>
      <c r="C34" s="17">
        <v>0</v>
      </c>
      <c r="D34" s="17">
        <v>15019</v>
      </c>
      <c r="E34" s="17">
        <v>15019</v>
      </c>
      <c r="F34" s="17">
        <v>47280</v>
      </c>
      <c r="G34" s="18">
        <f>IF(AND(F65&lt;&gt;0,47280&lt;&gt;0),IF(100*47280/(F65-0)&lt;0.005,"*",100*47280/(F65-0)),0)</f>
        <v>0.9033604895571872</v>
      </c>
    </row>
    <row r="35" spans="1:7" ht="12.75">
      <c r="A35" s="11" t="s">
        <v>117</v>
      </c>
      <c r="B35" s="17">
        <v>6002</v>
      </c>
      <c r="C35" s="17">
        <v>0</v>
      </c>
      <c r="D35" s="17">
        <v>5878</v>
      </c>
      <c r="E35" s="17">
        <v>5878</v>
      </c>
      <c r="F35" s="17">
        <v>18504</v>
      </c>
      <c r="G35" s="18">
        <f>IF(AND(F65&lt;&gt;0,18504&lt;&gt;0),IF(100*18504/(F65-0)&lt;0.005,"*",100*18504/(F65-0)),0)</f>
        <v>0.3535486992124829</v>
      </c>
    </row>
    <row r="36" spans="1:7" ht="12.75">
      <c r="A36" s="11" t="s">
        <v>118</v>
      </c>
      <c r="B36" s="17">
        <v>45565</v>
      </c>
      <c r="C36" s="17">
        <v>0</v>
      </c>
      <c r="D36" s="17">
        <v>45152</v>
      </c>
      <c r="E36" s="17">
        <v>45152</v>
      </c>
      <c r="F36" s="17">
        <v>142142</v>
      </c>
      <c r="G36" s="18">
        <f>IF(AND(F65&lt;&gt;0,142142&lt;&gt;0),IF(100*142142/(F65-0)&lt;0.005,"*",100*142142/(F65-0)),0)</f>
        <v>2.7158516646919986</v>
      </c>
    </row>
    <row r="37" spans="1:7" ht="12.75">
      <c r="A37" s="11" t="s">
        <v>119</v>
      </c>
      <c r="B37" s="17">
        <v>11880</v>
      </c>
      <c r="C37" s="17">
        <v>0</v>
      </c>
      <c r="D37" s="17">
        <v>11595</v>
      </c>
      <c r="E37" s="17">
        <v>11595</v>
      </c>
      <c r="F37" s="17">
        <v>36503</v>
      </c>
      <c r="G37" s="18">
        <f>IF(AND(F65&lt;&gt;0,36503&lt;&gt;0),IF(100*36503/(F65-0)&lt;0.005,"*",100*36503/(F65-0)),0)</f>
        <v>0.6974485607086718</v>
      </c>
    </row>
    <row r="38" spans="1:7" ht="12.75">
      <c r="A38" s="11" t="s">
        <v>120</v>
      </c>
      <c r="B38" s="17">
        <v>96319</v>
      </c>
      <c r="C38" s="17">
        <v>0</v>
      </c>
      <c r="D38" s="17">
        <v>95271</v>
      </c>
      <c r="E38" s="17">
        <v>95271</v>
      </c>
      <c r="F38" s="17">
        <v>299917</v>
      </c>
      <c r="G38" s="18">
        <f>IF(AND(F65&lt;&gt;0,299917&lt;&gt;0),IF(100*299917/(F65-0)&lt;0.005,"*",100*299917/(F65-0)),0)</f>
        <v>5.730396953183648</v>
      </c>
    </row>
    <row r="39" spans="1:7" ht="12.75">
      <c r="A39" s="11" t="s">
        <v>121</v>
      </c>
      <c r="B39" s="17">
        <v>52610</v>
      </c>
      <c r="C39" s="17">
        <v>0</v>
      </c>
      <c r="D39" s="17">
        <v>51888</v>
      </c>
      <c r="E39" s="17">
        <v>51888</v>
      </c>
      <c r="F39" s="17">
        <v>163346</v>
      </c>
      <c r="G39" s="18">
        <f>IF(AND(F65&lt;&gt;0,163346&lt;&gt;0),IF(100*163346/(F65-0)&lt;0.005,"*",100*163346/(F65-0)),0)</f>
        <v>3.1209882091203105</v>
      </c>
    </row>
    <row r="40" spans="1:7" ht="12.75">
      <c r="A40" s="11" t="s">
        <v>122</v>
      </c>
      <c r="B40" s="17">
        <v>3606</v>
      </c>
      <c r="C40" s="17">
        <v>0</v>
      </c>
      <c r="D40" s="17">
        <v>3796</v>
      </c>
      <c r="E40" s="17">
        <v>3796</v>
      </c>
      <c r="F40" s="17">
        <v>11949</v>
      </c>
      <c r="G40" s="18">
        <f>IF(AND(F65&lt;&gt;0,11949&lt;&gt;0),IF(100*11949/(F65-0)&lt;0.005,"*",100*11949/(F65-0)),0)</f>
        <v>0.22830487499405308</v>
      </c>
    </row>
    <row r="41" spans="1:7" ht="12.75">
      <c r="A41" s="11" t="s">
        <v>123</v>
      </c>
      <c r="B41" s="17">
        <v>60055</v>
      </c>
      <c r="C41" s="17">
        <v>0</v>
      </c>
      <c r="D41" s="17">
        <v>59127</v>
      </c>
      <c r="E41" s="17">
        <v>59127</v>
      </c>
      <c r="F41" s="17">
        <v>186134</v>
      </c>
      <c r="G41" s="18">
        <f>IF(AND(F65&lt;&gt;0,186134&lt;&gt;0),IF(100*186134/(F65-0)&lt;0.005,"*",100*186134/(F65-0)),0)</f>
        <v>3.5563896227419094</v>
      </c>
    </row>
    <row r="42" spans="1:7" ht="12.75">
      <c r="A42" s="11" t="s">
        <v>124</v>
      </c>
      <c r="B42" s="17">
        <v>21718</v>
      </c>
      <c r="C42" s="17">
        <v>0</v>
      </c>
      <c r="D42" s="17">
        <v>21748</v>
      </c>
      <c r="E42" s="17">
        <v>21748</v>
      </c>
      <c r="F42" s="17">
        <v>68465</v>
      </c>
      <c r="G42" s="18">
        <f>IF(AND(F65&lt;&gt;0,68465&lt;&gt;0),IF(100*68465/(F65-0)&lt;0.005,"*",100*68465/(F65-0)),0)</f>
        <v>1.3081340084080546</v>
      </c>
    </row>
    <row r="43" spans="1:7" ht="12.75">
      <c r="A43" s="11" t="s">
        <v>125</v>
      </c>
      <c r="B43" s="17">
        <v>19584</v>
      </c>
      <c r="C43" s="17">
        <v>0</v>
      </c>
      <c r="D43" s="17">
        <v>19319</v>
      </c>
      <c r="E43" s="17">
        <v>19319</v>
      </c>
      <c r="F43" s="17">
        <v>60818</v>
      </c>
      <c r="G43" s="18">
        <f>IF(AND(F65&lt;&gt;0,60818&lt;&gt;0),IF(100*60818/(F65-0)&lt;0.005,"*",100*60818/(F65-0)),0)</f>
        <v>1.1620257667912226</v>
      </c>
    </row>
    <row r="44" spans="1:7" ht="12.75">
      <c r="A44" s="11" t="s">
        <v>126</v>
      </c>
      <c r="B44" s="17">
        <v>61442</v>
      </c>
      <c r="C44" s="17">
        <v>0</v>
      </c>
      <c r="D44" s="17">
        <v>60489</v>
      </c>
      <c r="E44" s="17">
        <v>60489</v>
      </c>
      <c r="F44" s="17">
        <v>190423</v>
      </c>
      <c r="G44" s="18">
        <f>IF(AND(F65&lt;&gt;0,190423&lt;&gt;0),IF(100*190423/(F65-0)&lt;0.005,"*",100*190423/(F65-0)),0)</f>
        <v>3.638337870197721</v>
      </c>
    </row>
    <row r="45" spans="1:7" ht="12.75">
      <c r="A45" s="11" t="s">
        <v>127</v>
      </c>
      <c r="B45" s="17">
        <v>4812</v>
      </c>
      <c r="C45" s="17">
        <v>0</v>
      </c>
      <c r="D45" s="17">
        <v>4731</v>
      </c>
      <c r="E45" s="17">
        <v>4731</v>
      </c>
      <c r="F45" s="17">
        <v>14894</v>
      </c>
      <c r="G45" s="18">
        <f>IF(AND(F65&lt;&gt;0,14894&lt;&gt;0),IF(100*14894/(F65-0)&lt;0.005,"*",100*14894/(F65-0)),0)</f>
        <v>0.2845738394979853</v>
      </c>
    </row>
    <row r="46" spans="1:7" ht="12.75">
      <c r="A46" s="11" t="s">
        <v>128</v>
      </c>
      <c r="B46" s="17">
        <v>24854</v>
      </c>
      <c r="C46" s="17">
        <v>0</v>
      </c>
      <c r="D46" s="17">
        <v>24535</v>
      </c>
      <c r="E46" s="17">
        <v>24535</v>
      </c>
      <c r="F46" s="17">
        <v>77237</v>
      </c>
      <c r="G46" s="18">
        <f>IF(AND(F65&lt;&gt;0,77237&lt;&gt;0),IF(100*77237/(F65-0)&lt;0.005,"*",100*77237/(F65-0)),0)</f>
        <v>1.4757371855314818</v>
      </c>
    </row>
    <row r="47" spans="1:7" ht="12.75">
      <c r="A47" s="11" t="s">
        <v>129</v>
      </c>
      <c r="B47" s="17">
        <v>4761</v>
      </c>
      <c r="C47" s="17">
        <v>0</v>
      </c>
      <c r="D47" s="17">
        <v>4814</v>
      </c>
      <c r="E47" s="17">
        <v>4814</v>
      </c>
      <c r="F47" s="17">
        <v>15155</v>
      </c>
      <c r="G47" s="18">
        <f>IF(AND(F65&lt;&gt;0,15155&lt;&gt;0),IF(100*15155/(F65-0)&lt;0.005,"*",100*15155/(F65-0)),0)</f>
        <v>0.2895606645355155</v>
      </c>
    </row>
    <row r="48" spans="1:7" ht="12.75">
      <c r="A48" s="11" t="s">
        <v>130</v>
      </c>
      <c r="B48" s="17">
        <v>34108</v>
      </c>
      <c r="C48" s="17">
        <v>0</v>
      </c>
      <c r="D48" s="17">
        <v>33696</v>
      </c>
      <c r="E48" s="17">
        <v>33696</v>
      </c>
      <c r="F48" s="17">
        <v>106076</v>
      </c>
      <c r="G48" s="18">
        <f>IF(AND(F65&lt;&gt;0,106076&lt;&gt;0),IF(100*106076/(F65-0)&lt;0.005,"*",100*106076/(F65-0)),0)</f>
        <v>2.0267526922645556</v>
      </c>
    </row>
    <row r="49" spans="1:7" ht="12.75">
      <c r="A49" s="11" t="s">
        <v>131</v>
      </c>
      <c r="B49" s="17">
        <v>161910</v>
      </c>
      <c r="C49" s="17">
        <v>0</v>
      </c>
      <c r="D49" s="17">
        <v>161337</v>
      </c>
      <c r="E49" s="17">
        <v>161337</v>
      </c>
      <c r="F49" s="17">
        <v>507897</v>
      </c>
      <c r="G49" s="18">
        <f>IF(AND(F65&lt;&gt;0,507897&lt;&gt;0),IF(100*507897/(F65-0)&lt;0.005,"*",100*507897/(F65-0)),0)</f>
        <v>9.704189563549633</v>
      </c>
    </row>
    <row r="50" spans="1:7" ht="12.75">
      <c r="A50" s="11" t="s">
        <v>132</v>
      </c>
      <c r="B50" s="17">
        <v>21039</v>
      </c>
      <c r="C50" s="17">
        <v>0</v>
      </c>
      <c r="D50" s="17">
        <v>20919</v>
      </c>
      <c r="E50" s="17">
        <v>20919</v>
      </c>
      <c r="F50" s="17">
        <v>65855</v>
      </c>
      <c r="G50" s="18">
        <f>IF(AND(F65&lt;&gt;0,65855&lt;&gt;0),IF(100*65855/(F65-0)&lt;0.005,"*",100*65855/(F65-0)),0)</f>
        <v>1.258265758032753</v>
      </c>
    </row>
    <row r="51" spans="1:7" ht="12.75">
      <c r="A51" s="11" t="s">
        <v>133</v>
      </c>
      <c r="B51" s="17">
        <v>2725</v>
      </c>
      <c r="C51" s="17">
        <v>0</v>
      </c>
      <c r="D51" s="17">
        <v>2679</v>
      </c>
      <c r="E51" s="17">
        <v>2679</v>
      </c>
      <c r="F51" s="17">
        <v>8434</v>
      </c>
      <c r="G51" s="18">
        <f>IF(AND(F65&lt;&gt;0,8434&lt;&gt;0),IF(100*8434/(F65-0)&lt;0.005,"*",100*8434/(F65-0)),0)</f>
        <v>0.1611451431667791</v>
      </c>
    </row>
    <row r="52" spans="1:7" ht="12.75">
      <c r="A52" s="11" t="s">
        <v>134</v>
      </c>
      <c r="B52" s="17">
        <v>42599</v>
      </c>
      <c r="C52" s="17">
        <v>0</v>
      </c>
      <c r="D52" s="17">
        <v>42430</v>
      </c>
      <c r="E52" s="17">
        <v>42430</v>
      </c>
      <c r="F52" s="17">
        <v>133571</v>
      </c>
      <c r="G52" s="18">
        <f>IF(AND(F65&lt;&gt;0,133571&lt;&gt;0),IF(100*133571/(F65-0)&lt;0.005,"*",100*133571/(F65-0)),0)</f>
        <v>2.55208891604575</v>
      </c>
    </row>
    <row r="53" spans="1:7" ht="12.75">
      <c r="A53" s="11" t="s">
        <v>135</v>
      </c>
      <c r="B53" s="17">
        <v>36356</v>
      </c>
      <c r="C53" s="17">
        <v>0</v>
      </c>
      <c r="D53" s="17">
        <v>36306</v>
      </c>
      <c r="E53" s="17">
        <v>36306</v>
      </c>
      <c r="F53" s="17">
        <v>114292</v>
      </c>
      <c r="G53" s="18">
        <f>IF(AND(F65&lt;&gt;0,114292&lt;&gt;0),IF(100*114292/(F65-0)&lt;0.005,"*",100*114292/(F65-0)),0)</f>
        <v>2.18373259459539</v>
      </c>
    </row>
    <row r="54" spans="1:7" ht="12.75">
      <c r="A54" s="11" t="s">
        <v>136</v>
      </c>
      <c r="B54" s="17">
        <v>8716</v>
      </c>
      <c r="C54" s="17">
        <v>0</v>
      </c>
      <c r="D54" s="17">
        <v>8577</v>
      </c>
      <c r="E54" s="17">
        <v>8577</v>
      </c>
      <c r="F54" s="17">
        <v>27002</v>
      </c>
      <c r="G54" s="18">
        <f>IF(AND(F65&lt;&gt;0,27002&lt;&gt;0),IF(100*27002/(F65-0)&lt;0.005,"*",100*27002/(F65-0)),0)</f>
        <v>0.5159166653769706</v>
      </c>
    </row>
    <row r="55" spans="1:7" ht="12.75">
      <c r="A55" s="11" t="s">
        <v>137</v>
      </c>
      <c r="B55" s="17">
        <v>29933</v>
      </c>
      <c r="C55" s="17">
        <v>0</v>
      </c>
      <c r="D55" s="17">
        <v>29382</v>
      </c>
      <c r="E55" s="17">
        <v>29382</v>
      </c>
      <c r="F55" s="17">
        <v>92497</v>
      </c>
      <c r="G55" s="18">
        <f>IF(AND(F65&lt;&gt;0,92497&lt;&gt;0),IF(100*92497/(F65-0)&lt;0.005,"*",100*92497/(F65-0)),0)</f>
        <v>1.7673040440476129</v>
      </c>
    </row>
    <row r="56" spans="1:7" ht="12.75">
      <c r="A56" s="11" t="s">
        <v>138</v>
      </c>
      <c r="B56" s="17">
        <v>3157</v>
      </c>
      <c r="C56" s="17">
        <v>0</v>
      </c>
      <c r="D56" s="17">
        <v>3174</v>
      </c>
      <c r="E56" s="17">
        <v>3174</v>
      </c>
      <c r="F56" s="17">
        <v>9993</v>
      </c>
      <c r="G56" s="18">
        <f>IF(AND(F65&lt;&gt;0,9993&lt;&gt;0),IF(100*9993/(F65-0)&lt;0.005,"*",100*9993/(F65-0)),0)</f>
        <v>0.1909323471265857</v>
      </c>
    </row>
    <row r="57" spans="1:7" ht="12.75">
      <c r="A57" s="11" t="s">
        <v>139</v>
      </c>
      <c r="B57" s="17">
        <v>0</v>
      </c>
      <c r="C57" s="17">
        <v>0</v>
      </c>
      <c r="D57" s="17">
        <v>0</v>
      </c>
      <c r="E57" s="17">
        <v>0</v>
      </c>
      <c r="F57" s="17">
        <v>0</v>
      </c>
      <c r="G57" s="18">
        <f>IF(AND(F65&lt;&gt;0,0&lt;&gt;0),IF(100*0/(F65-0)&lt;0.005,"*",100*0/(F65-0)),0)</f>
        <v>0</v>
      </c>
    </row>
    <row r="58" spans="1:7" ht="12.75">
      <c r="A58" s="11" t="s">
        <v>140</v>
      </c>
      <c r="B58" s="17">
        <v>0</v>
      </c>
      <c r="C58" s="17">
        <v>0</v>
      </c>
      <c r="D58" s="17">
        <v>0</v>
      </c>
      <c r="E58" s="17">
        <v>0</v>
      </c>
      <c r="F58" s="17">
        <v>0</v>
      </c>
      <c r="G58" s="18">
        <f>IF(AND(F65&lt;&gt;0,0&lt;&gt;0),IF(100*0/(F65-0)&lt;0.005,"*",100*0/(F65-0)),0)</f>
        <v>0</v>
      </c>
    </row>
    <row r="59" spans="1:7" ht="12.75">
      <c r="A59" s="11" t="s">
        <v>141</v>
      </c>
      <c r="B59" s="17">
        <v>0</v>
      </c>
      <c r="C59" s="17">
        <v>0</v>
      </c>
      <c r="D59" s="17">
        <v>0</v>
      </c>
      <c r="E59" s="17">
        <v>0</v>
      </c>
      <c r="F59" s="17">
        <v>0</v>
      </c>
      <c r="G59" s="18">
        <f>IF(AND(F65&lt;&gt;0,0&lt;&gt;0),IF(100*0/(F65-0)&lt;0.005,"*",100*0/(F65-0)),0)</f>
        <v>0</v>
      </c>
    </row>
    <row r="60" spans="1:7" ht="12.75">
      <c r="A60" s="11" t="s">
        <v>142</v>
      </c>
      <c r="B60" s="17">
        <v>0</v>
      </c>
      <c r="C60" s="17">
        <v>0</v>
      </c>
      <c r="D60" s="17">
        <v>0</v>
      </c>
      <c r="E60" s="17">
        <v>0</v>
      </c>
      <c r="F60" s="17">
        <v>0</v>
      </c>
      <c r="G60" s="18">
        <f>IF(AND(F65&lt;&gt;0,0&lt;&gt;0),IF(100*0/(F65-0)&lt;0.005,"*",100*0/(F65-0)),0)</f>
        <v>0</v>
      </c>
    </row>
    <row r="61" spans="1:7" ht="12.75">
      <c r="A61" s="11" t="s">
        <v>143</v>
      </c>
      <c r="B61" s="17">
        <v>0</v>
      </c>
      <c r="C61" s="17">
        <v>0</v>
      </c>
      <c r="D61" s="17">
        <v>0</v>
      </c>
      <c r="E61" s="17">
        <v>0</v>
      </c>
      <c r="F61" s="17">
        <v>0</v>
      </c>
      <c r="G61" s="18">
        <f>IF(AND(F65&lt;&gt;0,0&lt;&gt;0),IF(100*0/(F65-0)&lt;0.005,"*",100*0/(F65-0)),0)</f>
        <v>0</v>
      </c>
    </row>
    <row r="62" spans="1:7" ht="12.75">
      <c r="A62" s="11" t="s">
        <v>144</v>
      </c>
      <c r="B62" s="17">
        <v>0</v>
      </c>
      <c r="C62" s="17">
        <v>0</v>
      </c>
      <c r="D62" s="17">
        <v>0</v>
      </c>
      <c r="E62" s="17">
        <v>0</v>
      </c>
      <c r="F62" s="17">
        <v>0</v>
      </c>
      <c r="G62" s="18">
        <f>IF(AND(F65&lt;&gt;0,0&lt;&gt;0),IF(100*0/(F65-0)&lt;0.005,"*",100*0/(F65-0)),0)</f>
        <v>0</v>
      </c>
    </row>
    <row r="63" spans="1:7" ht="12.75">
      <c r="A63" s="11" t="s">
        <v>145</v>
      </c>
      <c r="B63" s="17">
        <v>0</v>
      </c>
      <c r="C63" s="17">
        <v>0</v>
      </c>
      <c r="D63" s="17">
        <v>0</v>
      </c>
      <c r="E63" s="17">
        <v>0</v>
      </c>
      <c r="F63" s="17">
        <v>0</v>
      </c>
      <c r="G63" s="18">
        <f>IF(AND(F65&lt;&gt;0,0&lt;&gt;0),IF(100*0/(F65-0)&lt;0.005,"*",100*0/(F65-0)),0)</f>
        <v>0</v>
      </c>
    </row>
    <row r="64" spans="1:7" ht="12.75">
      <c r="A64" s="11" t="s">
        <v>146</v>
      </c>
      <c r="B64" s="17">
        <v>0</v>
      </c>
      <c r="C64" s="17">
        <v>0</v>
      </c>
      <c r="D64" s="17">
        <v>0</v>
      </c>
      <c r="E64" s="17">
        <v>0</v>
      </c>
      <c r="F64" s="17">
        <v>0</v>
      </c>
      <c r="G64" s="18">
        <v>0</v>
      </c>
    </row>
    <row r="65" spans="1:7" ht="15" customHeight="1">
      <c r="A65" s="19" t="s">
        <v>87</v>
      </c>
      <c r="B65" s="20">
        <f>25566+4350+37247+16335+209910+28612+17492+4691+2644+90388+57280+7067+9873+69418+36241+16556+16767+23367+25822+5898+30526+31342+50475+29297+17109+31999+5075+10812+15225+6002+45565+11880+96319+52610+3606+60055+21718+19584+61442+4812+24854+4761+34108+161910+21039+2725+42599+36356+8716+29933+3157+0+0+0+0+0+0+0+0+0+0+0+0+0+0+0</f>
        <v>1681135</v>
      </c>
      <c r="C65" s="20">
        <f>0+0+0+0+0+0+0+0+0+0+0+0+0+0+0+0+0+0+0+0+0+0+0+0+0+0+0+0+0+0+0+0+0+0+0+0+0+0+0+0+0+0+0+0+0+0+0+0+0+0+0+0+0+0+0+0+0+0+0+0+0+0+0+0+0+0</f>
        <v>0</v>
      </c>
      <c r="D65" s="20">
        <f>24956+4332+36710+16115+207266+28411+17134+4638+2715+90182+56547+7138+9755+67879+35699+16414+16557+22977+25397+5732+30357+30961+49547+29130+16733+31586+5096+10724+15019+5878+45152+11595+95271+51888+3796+59127+21748+19319+60489+4731+24535+4814+33696+161337+20919+2679+42430+36306+8577+29382+3174+0+0+0+0+0+0+0+0+0+0+0+0+0+0+0</f>
        <v>1662550</v>
      </c>
      <c r="E65" s="20">
        <f>SUM(C65:D65)</f>
        <v>1662550</v>
      </c>
      <c r="F65" s="20">
        <f>78562+13639+115566+50730+652487+89438+53938+14602+8547+283896+178013+22469+30709+213686+112381+51672+52124+72332+79950+18045+95564+97466+155977+91704+52675+99434+16041+33760+47280+18504+142142+36503+299917+163346+11949+186134+68465+60818+190423+14894+77237+15155+106076+507897+65855+8434+133571+114292+27002+92497+9993+0+0+0+0+0+0+0+0+0+0+0+0+0+0+0</f>
        <v>5233791</v>
      </c>
      <c r="G65" s="21" t="s">
        <v>147</v>
      </c>
    </row>
    <row r="66" spans="1:7" ht="15" customHeight="1">
      <c r="A66" s="33" t="s">
        <v>148</v>
      </c>
      <c r="B66" s="33"/>
      <c r="C66" s="33"/>
      <c r="D66" s="33"/>
      <c r="E66" s="33"/>
      <c r="F66" s="33"/>
      <c r="G66" s="33"/>
    </row>
    <row r="67" spans="1:7" ht="15" customHeight="1">
      <c r="A67" s="26" t="s">
        <v>149</v>
      </c>
      <c r="B67" s="26"/>
      <c r="C67" s="26"/>
      <c r="D67" s="26"/>
      <c r="E67" s="26"/>
      <c r="F67" s="26"/>
      <c r="G67" s="26"/>
    </row>
  </sheetData>
  <sheetProtection/>
  <mergeCells count="6">
    <mergeCell ref="A67:G67"/>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76</v>
      </c>
      <c r="B1" s="10"/>
      <c r="C1" s="10"/>
      <c r="D1" s="10"/>
      <c r="E1" s="10"/>
      <c r="F1" s="10"/>
      <c r="G1" s="12" t="s">
        <v>77</v>
      </c>
    </row>
    <row r="2" spans="1:7" ht="12.75">
      <c r="A2" s="13" t="s">
        <v>78</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71813</v>
      </c>
      <c r="C6" s="17">
        <v>0</v>
      </c>
      <c r="D6" s="17">
        <v>80216</v>
      </c>
      <c r="E6" s="17">
        <v>80216</v>
      </c>
      <c r="F6" s="17">
        <v>82947</v>
      </c>
      <c r="G6" s="18">
        <f>IF(AND(F65&lt;&gt;0,82947&lt;&gt;0),IF(100*82947/(F65-0)&lt;0.005,"*",100*82947/(F65-0)),0)</f>
        <v>1.8488761569267824</v>
      </c>
    </row>
    <row r="7" spans="1:7" ht="12.75">
      <c r="A7" s="11" t="s">
        <v>89</v>
      </c>
      <c r="B7" s="17">
        <v>11211</v>
      </c>
      <c r="C7" s="17">
        <v>0</v>
      </c>
      <c r="D7" s="17">
        <v>12523</v>
      </c>
      <c r="E7" s="17">
        <v>12523</v>
      </c>
      <c r="F7" s="17">
        <v>12949</v>
      </c>
      <c r="G7" s="18">
        <f>IF(AND(F65&lt;&gt;0,12949&lt;&gt;0),IF(100*12949/(F65-0)&lt;0.005,"*",100*12949/(F65-0)),0)</f>
        <v>0.2886312628069117</v>
      </c>
    </row>
    <row r="8" spans="1:7" ht="12.75">
      <c r="A8" s="11" t="s">
        <v>90</v>
      </c>
      <c r="B8" s="17">
        <v>87618</v>
      </c>
      <c r="C8" s="17">
        <v>0</v>
      </c>
      <c r="D8" s="17">
        <v>97870</v>
      </c>
      <c r="E8" s="17">
        <v>97870</v>
      </c>
      <c r="F8" s="17">
        <v>101202</v>
      </c>
      <c r="G8" s="18">
        <f>IF(AND(F65&lt;&gt;0,101202&lt;&gt;0),IF(100*101202/(F65-0)&lt;0.005,"*",100*101202/(F65-0)),0)</f>
        <v>2.2557773618491836</v>
      </c>
    </row>
    <row r="9" spans="1:7" ht="12.75">
      <c r="A9" s="11" t="s">
        <v>91</v>
      </c>
      <c r="B9" s="17">
        <v>48669</v>
      </c>
      <c r="C9" s="17">
        <v>0</v>
      </c>
      <c r="D9" s="17">
        <v>54364</v>
      </c>
      <c r="E9" s="17">
        <v>54364</v>
      </c>
      <c r="F9" s="17">
        <v>56215</v>
      </c>
      <c r="G9" s="18">
        <f>IF(AND(F65&lt;&gt;0,56215&lt;&gt;0),IF(100*56215/(F65-0)&lt;0.005,"*",100*56215/(F65-0)),0)</f>
        <v>1.2530238967248855</v>
      </c>
    </row>
    <row r="10" spans="1:7" ht="12.75">
      <c r="A10" s="11" t="s">
        <v>92</v>
      </c>
      <c r="B10" s="17">
        <v>481307</v>
      </c>
      <c r="C10" s="17">
        <v>0</v>
      </c>
      <c r="D10" s="17">
        <v>537622</v>
      </c>
      <c r="E10" s="17">
        <v>537622</v>
      </c>
      <c r="F10" s="17">
        <v>555928</v>
      </c>
      <c r="G10" s="18">
        <f>IF(AND(F65&lt;&gt;0,555928&lt;&gt;0),IF(100*555928/(F65-0)&lt;0.005,"*",100*555928/(F65-0)),0)</f>
        <v>12.391551522875961</v>
      </c>
    </row>
    <row r="11" spans="1:7" ht="12.75">
      <c r="A11" s="11" t="s">
        <v>93</v>
      </c>
      <c r="B11" s="17">
        <v>47140</v>
      </c>
      <c r="C11" s="17">
        <v>0</v>
      </c>
      <c r="D11" s="17">
        <v>52656</v>
      </c>
      <c r="E11" s="17">
        <v>52656</v>
      </c>
      <c r="F11" s="17">
        <v>54448</v>
      </c>
      <c r="G11" s="18">
        <f>IF(AND(F65&lt;&gt;0,54448&lt;&gt;0),IF(100*54448/(F65-0)&lt;0.005,"*",100*54448/(F65-0)),0)</f>
        <v>1.2136377324357657</v>
      </c>
    </row>
    <row r="12" spans="1:7" ht="12.75">
      <c r="A12" s="11" t="s">
        <v>94</v>
      </c>
      <c r="B12" s="17">
        <v>28232</v>
      </c>
      <c r="C12" s="17">
        <v>0</v>
      </c>
      <c r="D12" s="17">
        <v>31535</v>
      </c>
      <c r="E12" s="17">
        <v>31535</v>
      </c>
      <c r="F12" s="17">
        <v>32609</v>
      </c>
      <c r="G12" s="18">
        <f>IF(AND(F65&lt;&gt;0,32609&lt;&gt;0),IF(100*32609/(F65-0)&lt;0.005,"*",100*32609/(F65-0)),0)</f>
        <v>0.7268497064538254</v>
      </c>
    </row>
    <row r="13" spans="1:7" ht="12.75">
      <c r="A13" s="11" t="s">
        <v>95</v>
      </c>
      <c r="B13" s="17">
        <v>12275</v>
      </c>
      <c r="C13" s="17">
        <v>0</v>
      </c>
      <c r="D13" s="17">
        <v>13711</v>
      </c>
      <c r="E13" s="17">
        <v>13711</v>
      </c>
      <c r="F13" s="17">
        <v>14178</v>
      </c>
      <c r="G13" s="18">
        <f>IF(AND(F65&lt;&gt;0,14178&lt;&gt;0),IF(100*14178/(F65-0)&lt;0.005,"*",100*14178/(F65-0)),0)</f>
        <v>0.31602548799725033</v>
      </c>
    </row>
    <row r="14" spans="1:7" ht="12.75">
      <c r="A14" s="11" t="s">
        <v>96</v>
      </c>
      <c r="B14" s="17">
        <v>10429</v>
      </c>
      <c r="C14" s="17">
        <v>0</v>
      </c>
      <c r="D14" s="17">
        <v>11649</v>
      </c>
      <c r="E14" s="17">
        <v>11649</v>
      </c>
      <c r="F14" s="17">
        <v>12046</v>
      </c>
      <c r="G14" s="18">
        <f>IF(AND(F65&lt;&gt;0,12046&lt;&gt;0),IF(100*12046/(F65-0)&lt;0.005,"*",100*12046/(F65-0)),0)</f>
        <v>0.26850352859464505</v>
      </c>
    </row>
    <row r="15" spans="1:7" ht="12.75">
      <c r="A15" s="11" t="s">
        <v>97</v>
      </c>
      <c r="B15" s="17">
        <v>223469</v>
      </c>
      <c r="C15" s="17">
        <v>0</v>
      </c>
      <c r="D15" s="17">
        <v>249616</v>
      </c>
      <c r="E15" s="17">
        <v>249616</v>
      </c>
      <c r="F15" s="17">
        <v>258115</v>
      </c>
      <c r="G15" s="18">
        <f>IF(AND(F65&lt;&gt;0,258115&lt;&gt;0),IF(100*258115/(F65-0)&lt;0.005,"*",100*258115/(F65-0)),0)</f>
        <v>5.753344536211755</v>
      </c>
    </row>
    <row r="16" spans="1:7" ht="12.75">
      <c r="A16" s="11" t="s">
        <v>98</v>
      </c>
      <c r="B16" s="17">
        <v>177260</v>
      </c>
      <c r="C16" s="17">
        <v>0</v>
      </c>
      <c r="D16" s="17">
        <v>198000</v>
      </c>
      <c r="E16" s="17">
        <v>198000</v>
      </c>
      <c r="F16" s="17">
        <v>204742</v>
      </c>
      <c r="G16" s="18">
        <f>IF(AND(F65&lt;&gt;0,204742&lt;&gt;0),IF(100*204742/(F65-0)&lt;0.005,"*",100*204742/(F65-0)),0)</f>
        <v>4.563668392123926</v>
      </c>
    </row>
    <row r="17" spans="1:7" ht="12.75">
      <c r="A17" s="11" t="s">
        <v>99</v>
      </c>
      <c r="B17" s="17">
        <v>11740</v>
      </c>
      <c r="C17" s="17">
        <v>0</v>
      </c>
      <c r="D17" s="17">
        <v>13114</v>
      </c>
      <c r="E17" s="17">
        <v>13114</v>
      </c>
      <c r="F17" s="17">
        <v>13560</v>
      </c>
      <c r="G17" s="18">
        <f>IF(AND(F65&lt;&gt;0,13560&lt;&gt;0),IF(100*13560/(F65-0)&lt;0.005,"*",100*13560/(F65-0)),0)</f>
        <v>0.3022503609283901</v>
      </c>
    </row>
    <row r="18" spans="1:7" ht="12.75">
      <c r="A18" s="11" t="s">
        <v>100</v>
      </c>
      <c r="B18" s="17">
        <v>18262</v>
      </c>
      <c r="C18" s="17">
        <v>0</v>
      </c>
      <c r="D18" s="17">
        <v>20399</v>
      </c>
      <c r="E18" s="17">
        <v>20399</v>
      </c>
      <c r="F18" s="17">
        <v>21093</v>
      </c>
      <c r="G18" s="18">
        <f>IF(AND(F65&lt;&gt;0,21093&lt;&gt;0),IF(100*21093/(F65-0)&lt;0.005,"*",100*21093/(F65-0)),0)</f>
        <v>0.47015979816095366</v>
      </c>
    </row>
    <row r="19" spans="1:7" ht="12.75">
      <c r="A19" s="11" t="s">
        <v>101</v>
      </c>
      <c r="B19" s="17">
        <v>132624</v>
      </c>
      <c r="C19" s="17">
        <v>0</v>
      </c>
      <c r="D19" s="17">
        <v>148142</v>
      </c>
      <c r="E19" s="17">
        <v>148142</v>
      </c>
      <c r="F19" s="17">
        <v>153186</v>
      </c>
      <c r="G19" s="18">
        <f>IF(AND(F65&lt;&gt;0,153186&lt;&gt;0),IF(100*153186/(F65-0)&lt;0.005,"*",100*153186/(F65-0)),0)</f>
        <v>3.4144929048065165</v>
      </c>
    </row>
    <row r="20" spans="1:7" ht="12.75">
      <c r="A20" s="11" t="s">
        <v>102</v>
      </c>
      <c r="B20" s="17">
        <v>73266</v>
      </c>
      <c r="C20" s="17">
        <v>0</v>
      </c>
      <c r="D20" s="17">
        <v>81839</v>
      </c>
      <c r="E20" s="17">
        <v>81839</v>
      </c>
      <c r="F20" s="17">
        <v>84625</v>
      </c>
      <c r="G20" s="18">
        <f>IF(AND(F65&lt;&gt;0,84625&lt;&gt;0),IF(100*84625/(F65-0)&lt;0.005,"*",100*84625/(F65-0)),0)</f>
        <v>1.8862785245991895</v>
      </c>
    </row>
    <row r="21" spans="1:7" ht="12.75">
      <c r="A21" s="11" t="s">
        <v>103</v>
      </c>
      <c r="B21" s="17">
        <v>25142</v>
      </c>
      <c r="C21" s="17">
        <v>0</v>
      </c>
      <c r="D21" s="17">
        <v>28084</v>
      </c>
      <c r="E21" s="17">
        <v>28084</v>
      </c>
      <c r="F21" s="17">
        <v>29040</v>
      </c>
      <c r="G21" s="18">
        <f>IF(AND(F65&lt;&gt;0,29040&lt;&gt;0),IF(100*29040/(F65-0)&lt;0.005,"*",100*29040/(F65-0)),0)</f>
        <v>0.647297233138676</v>
      </c>
    </row>
    <row r="22" spans="1:7" ht="12.75">
      <c r="A22" s="11" t="s">
        <v>104</v>
      </c>
      <c r="B22" s="17">
        <v>29960</v>
      </c>
      <c r="C22" s="17">
        <v>0</v>
      </c>
      <c r="D22" s="17">
        <v>33465</v>
      </c>
      <c r="E22" s="17">
        <v>33465</v>
      </c>
      <c r="F22" s="17">
        <v>34605</v>
      </c>
      <c r="G22" s="18">
        <f>IF(AND(F65&lt;&gt;0,34605&lt;&gt;0),IF(100*34605/(F65-0)&lt;0.005,"*",100*34605/(F65-0)),0)</f>
        <v>0.7713402463072964</v>
      </c>
    </row>
    <row r="23" spans="1:7" ht="12.75">
      <c r="A23" s="11" t="s">
        <v>105</v>
      </c>
      <c r="B23" s="17">
        <v>78111</v>
      </c>
      <c r="C23" s="17">
        <v>0</v>
      </c>
      <c r="D23" s="17">
        <v>87250</v>
      </c>
      <c r="E23" s="17">
        <v>87250</v>
      </c>
      <c r="F23" s="17">
        <v>90221</v>
      </c>
      <c r="G23" s="18">
        <f>IF(AND(F65&lt;&gt;0,90221&lt;&gt;0),IF(100*90221/(F65-0)&lt;0.005,"*",100*90221/(F65-0)),0)</f>
        <v>2.0110125231062153</v>
      </c>
    </row>
    <row r="24" spans="1:7" ht="12.75">
      <c r="A24" s="11" t="s">
        <v>106</v>
      </c>
      <c r="B24" s="17">
        <v>74804</v>
      </c>
      <c r="C24" s="17">
        <v>0</v>
      </c>
      <c r="D24" s="17">
        <v>83556</v>
      </c>
      <c r="E24" s="17">
        <v>83556</v>
      </c>
      <c r="F24" s="17">
        <v>86401</v>
      </c>
      <c r="G24" s="18">
        <f>IF(AND(F65&lt;&gt;0,86401&lt;&gt;0),IF(100*86401/(F65-0)&lt;0.005,"*",100*86401/(F65-0)),0)</f>
        <v>1.9258652975349433</v>
      </c>
    </row>
    <row r="25" spans="1:7" ht="12.75">
      <c r="A25" s="11" t="s">
        <v>107</v>
      </c>
      <c r="B25" s="17">
        <v>11547</v>
      </c>
      <c r="C25" s="17">
        <v>0</v>
      </c>
      <c r="D25" s="17">
        <v>12898</v>
      </c>
      <c r="E25" s="17">
        <v>12898</v>
      </c>
      <c r="F25" s="17">
        <v>13337</v>
      </c>
      <c r="G25" s="18">
        <f>IF(AND(F65&lt;&gt;0,13337&lt;&gt;0),IF(100*13337/(F65-0)&lt;0.005,"*",100*13337/(F65-0)),0)</f>
        <v>0.29727972446179485</v>
      </c>
    </row>
    <row r="26" spans="1:7" ht="12.75">
      <c r="A26" s="11" t="s">
        <v>108</v>
      </c>
      <c r="B26" s="17">
        <v>63770</v>
      </c>
      <c r="C26" s="17">
        <v>0</v>
      </c>
      <c r="D26" s="17">
        <v>71231</v>
      </c>
      <c r="E26" s="17">
        <v>71231</v>
      </c>
      <c r="F26" s="17">
        <v>73657</v>
      </c>
      <c r="G26" s="18">
        <f>IF(AND(F65&lt;&gt;0,73657&lt;&gt;0),IF(100*73657/(F65-0)&lt;0.005,"*",100*73657/(F65-0)),0)</f>
        <v>1.6418034539013588</v>
      </c>
    </row>
    <row r="27" spans="1:7" ht="12.75">
      <c r="A27" s="11" t="s">
        <v>109</v>
      </c>
      <c r="B27" s="17">
        <v>50644</v>
      </c>
      <c r="C27" s="17">
        <v>0</v>
      </c>
      <c r="D27" s="17">
        <v>56570</v>
      </c>
      <c r="E27" s="17">
        <v>56570</v>
      </c>
      <c r="F27" s="17">
        <v>58496</v>
      </c>
      <c r="G27" s="18">
        <f>IF(AND(F65&lt;&gt;0,58496&lt;&gt;0),IF(100*58496/(F65-0)&lt;0.005,"*",100*58496/(F65-0)),0)</f>
        <v>1.303867043721763</v>
      </c>
    </row>
    <row r="28" spans="1:7" ht="12.75">
      <c r="A28" s="11" t="s">
        <v>110</v>
      </c>
      <c r="B28" s="17">
        <v>101884</v>
      </c>
      <c r="C28" s="17">
        <v>0</v>
      </c>
      <c r="D28" s="17">
        <v>113805</v>
      </c>
      <c r="E28" s="17">
        <v>113805</v>
      </c>
      <c r="F28" s="17">
        <v>117680</v>
      </c>
      <c r="G28" s="18">
        <f>IF(AND(F65&lt;&gt;0,117680&lt;&gt;0),IF(100*117680/(F65-0)&lt;0.005,"*",100*117680/(F65-0)),0)</f>
        <v>2.6230695039862053</v>
      </c>
    </row>
    <row r="29" spans="1:7" ht="12.75">
      <c r="A29" s="11" t="s">
        <v>111</v>
      </c>
      <c r="B29" s="17">
        <v>47213</v>
      </c>
      <c r="C29" s="17">
        <v>0</v>
      </c>
      <c r="D29" s="17">
        <v>52737</v>
      </c>
      <c r="E29" s="17">
        <v>52737</v>
      </c>
      <c r="F29" s="17">
        <v>54533</v>
      </c>
      <c r="G29" s="18">
        <f>IF(AND(F65&lt;&gt;0,54533&lt;&gt;0),IF(100*54533/(F65-0)&lt;0.005,"*",100*54533/(F65-0)),0)</f>
        <v>1.2155323696539746</v>
      </c>
    </row>
    <row r="30" spans="1:7" ht="12.75">
      <c r="A30" s="11" t="s">
        <v>112</v>
      </c>
      <c r="B30" s="17">
        <v>61217</v>
      </c>
      <c r="C30" s="17">
        <v>0</v>
      </c>
      <c r="D30" s="17">
        <v>68380</v>
      </c>
      <c r="E30" s="17">
        <v>68380</v>
      </c>
      <c r="F30" s="17">
        <v>70708</v>
      </c>
      <c r="G30" s="18">
        <f>IF(AND(F65&lt;&gt;0,70708&lt;&gt;0),IF(100*70708/(F65-0)&lt;0.005,"*",100*70708/(F65-0)),0)</f>
        <v>1.576070687354322</v>
      </c>
    </row>
    <row r="31" spans="1:7" ht="12.75">
      <c r="A31" s="11" t="s">
        <v>113</v>
      </c>
      <c r="B31" s="17">
        <v>72603</v>
      </c>
      <c r="C31" s="17">
        <v>0</v>
      </c>
      <c r="D31" s="17">
        <v>81098</v>
      </c>
      <c r="E31" s="17">
        <v>81098</v>
      </c>
      <c r="F31" s="17">
        <v>83859</v>
      </c>
      <c r="G31" s="18">
        <f>IF(AND(F65&lt;&gt;0,83859&lt;&gt;0),IF(100*83859/(F65-0)&lt;0.005,"*",100*83859/(F65-0)),0)</f>
        <v>1.8692044997856831</v>
      </c>
    </row>
    <row r="32" spans="1:7" ht="12.75">
      <c r="A32" s="11" t="s">
        <v>114</v>
      </c>
      <c r="B32" s="17">
        <v>8061</v>
      </c>
      <c r="C32" s="17">
        <v>0</v>
      </c>
      <c r="D32" s="17">
        <v>9004</v>
      </c>
      <c r="E32" s="17">
        <v>9004</v>
      </c>
      <c r="F32" s="17">
        <v>9311</v>
      </c>
      <c r="G32" s="18">
        <f>IF(AND(F65&lt;&gt;0,9311&lt;&gt;0),IF(100*9311/(F65-0)&lt;0.005,"*",100*9311/(F65-0)),0)</f>
        <v>0.20754078986756933</v>
      </c>
    </row>
    <row r="33" spans="1:7" ht="12.75">
      <c r="A33" s="11" t="s">
        <v>115</v>
      </c>
      <c r="B33" s="17">
        <v>16398</v>
      </c>
      <c r="C33" s="17">
        <v>0</v>
      </c>
      <c r="D33" s="17">
        <v>18317</v>
      </c>
      <c r="E33" s="17">
        <v>18317</v>
      </c>
      <c r="F33" s="17">
        <v>18940</v>
      </c>
      <c r="G33" s="18">
        <f>IF(AND(F65&lt;&gt;0,18940&lt;&gt;0),IF(100*18940/(F65-0)&lt;0.005,"*",100*18940/(F65-0)),0)</f>
        <v>0.42216975191620265</v>
      </c>
    </row>
    <row r="34" spans="1:7" ht="12.75">
      <c r="A34" s="11" t="s">
        <v>116</v>
      </c>
      <c r="B34" s="17">
        <v>28807</v>
      </c>
      <c r="C34" s="17">
        <v>0</v>
      </c>
      <c r="D34" s="17">
        <v>32178</v>
      </c>
      <c r="E34" s="17">
        <v>32178</v>
      </c>
      <c r="F34" s="17">
        <v>33273</v>
      </c>
      <c r="G34" s="18">
        <f>IF(AND(F65&lt;&gt;0,33273&lt;&gt;0),IF(100*33273/(F65-0)&lt;0.005,"*",100*33273/(F65-0)),0)</f>
        <v>0.741650166605481</v>
      </c>
    </row>
    <row r="35" spans="1:7" ht="12.75">
      <c r="A35" s="11" t="s">
        <v>117</v>
      </c>
      <c r="B35" s="17">
        <v>5048</v>
      </c>
      <c r="C35" s="17">
        <v>0</v>
      </c>
      <c r="D35" s="17">
        <v>5639</v>
      </c>
      <c r="E35" s="17">
        <v>5639</v>
      </c>
      <c r="F35" s="17">
        <v>5831</v>
      </c>
      <c r="G35" s="18">
        <f>IF(AND(F65&lt;&gt;0,5831&lt;&gt;0),IF(100*5831/(F65-0)&lt;0.005,"*",100*5831/(F65-0)),0)</f>
        <v>0.12997211316913293</v>
      </c>
    </row>
    <row r="36" spans="1:7" ht="12.75">
      <c r="A36" s="11" t="s">
        <v>118</v>
      </c>
      <c r="B36" s="17">
        <v>85123</v>
      </c>
      <c r="C36" s="17">
        <v>0</v>
      </c>
      <c r="D36" s="17">
        <v>95083</v>
      </c>
      <c r="E36" s="17">
        <v>95083</v>
      </c>
      <c r="F36" s="17">
        <v>98320</v>
      </c>
      <c r="G36" s="18">
        <f>IF(AND(F65&lt;&gt;0,98320&lt;&gt;0),IF(100*98320/(F65-0)&lt;0.005,"*",100*98320/(F65-0)),0)</f>
        <v>2.191538015227088</v>
      </c>
    </row>
    <row r="37" spans="1:7" ht="12.75">
      <c r="A37" s="11" t="s">
        <v>119</v>
      </c>
      <c r="B37" s="17">
        <v>45816</v>
      </c>
      <c r="C37" s="17">
        <v>0</v>
      </c>
      <c r="D37" s="17">
        <v>51177</v>
      </c>
      <c r="E37" s="17">
        <v>51177</v>
      </c>
      <c r="F37" s="17">
        <v>52919</v>
      </c>
      <c r="G37" s="18">
        <f>IF(AND(F65&lt;&gt;0,52919&lt;&gt;0),IF(100*52919/(F65-0)&lt;0.005,"*",100*52919/(F65-0)),0)</f>
        <v>1.1795565523576308</v>
      </c>
    </row>
    <row r="38" spans="1:7" ht="12.75">
      <c r="A38" s="11" t="s">
        <v>120</v>
      </c>
      <c r="B38" s="17">
        <v>197249</v>
      </c>
      <c r="C38" s="17">
        <v>0</v>
      </c>
      <c r="D38" s="17">
        <v>220328</v>
      </c>
      <c r="E38" s="17">
        <v>220328</v>
      </c>
      <c r="F38" s="17">
        <v>227830</v>
      </c>
      <c r="G38" s="18">
        <f>IF(AND(F65&lt;&gt;0,227830&lt;&gt;0),IF(100*227830/(F65-0)&lt;0.005,"*",100*227830/(F65-0)),0)</f>
        <v>5.0782964402887245</v>
      </c>
    </row>
    <row r="39" spans="1:7" ht="12.75">
      <c r="A39" s="11" t="s">
        <v>121</v>
      </c>
      <c r="B39" s="17">
        <v>129292</v>
      </c>
      <c r="C39" s="17">
        <v>0</v>
      </c>
      <c r="D39" s="17">
        <v>144420</v>
      </c>
      <c r="E39" s="17">
        <v>144420</v>
      </c>
      <c r="F39" s="17">
        <v>149337</v>
      </c>
      <c r="G39" s="18">
        <f>IF(AND(F65&lt;&gt;0,149337&lt;&gt;0),IF(100*149337/(F65-0)&lt;0.005,"*",100*149337/(F65-0)),0)</f>
        <v>3.3286992735960905</v>
      </c>
    </row>
    <row r="40" spans="1:7" ht="12.75">
      <c r="A40" s="11" t="s">
        <v>122</v>
      </c>
      <c r="B40" s="17">
        <v>4873</v>
      </c>
      <c r="C40" s="17">
        <v>0</v>
      </c>
      <c r="D40" s="17">
        <v>5443</v>
      </c>
      <c r="E40" s="17">
        <v>5443</v>
      </c>
      <c r="F40" s="17">
        <v>5628</v>
      </c>
      <c r="G40" s="18">
        <f>IF(AND(F65&lt;&gt;0,5628&lt;&gt;0),IF(100*5628/(F65-0)&lt;0.005,"*",100*5628/(F65-0)),0)</f>
        <v>0.12544727369505748</v>
      </c>
    </row>
    <row r="41" spans="1:7" ht="12.75">
      <c r="A41" s="11" t="s">
        <v>123</v>
      </c>
      <c r="B41" s="17">
        <v>114700</v>
      </c>
      <c r="C41" s="17">
        <v>0</v>
      </c>
      <c r="D41" s="17">
        <v>128121</v>
      </c>
      <c r="E41" s="17">
        <v>128121</v>
      </c>
      <c r="F41" s="17">
        <v>132483</v>
      </c>
      <c r="G41" s="18">
        <f>IF(AND(F65&lt;&gt;0,132483&lt;&gt;0),IF(100*132483/(F65-0)&lt;0.005,"*",100*132483/(F65-0)),0)</f>
        <v>2.9530261479996978</v>
      </c>
    </row>
    <row r="42" spans="1:7" ht="12.75">
      <c r="A42" s="11" t="s">
        <v>124</v>
      </c>
      <c r="B42" s="17">
        <v>56877</v>
      </c>
      <c r="C42" s="17">
        <v>0</v>
      </c>
      <c r="D42" s="17">
        <v>63532</v>
      </c>
      <c r="E42" s="17">
        <v>63532</v>
      </c>
      <c r="F42" s="17">
        <v>65695</v>
      </c>
      <c r="G42" s="18">
        <f>IF(AND(F65&lt;&gt;0,65695&lt;&gt;0),IF(100*65695/(F65-0)&lt;0.005,"*",100*65695/(F65-0)),0)</f>
        <v>1.4643316711792467</v>
      </c>
    </row>
    <row r="43" spans="1:7" ht="12.75">
      <c r="A43" s="11" t="s">
        <v>125</v>
      </c>
      <c r="B43" s="17">
        <v>36679</v>
      </c>
      <c r="C43" s="17">
        <v>0</v>
      </c>
      <c r="D43" s="17">
        <v>40971</v>
      </c>
      <c r="E43" s="17">
        <v>40971</v>
      </c>
      <c r="F43" s="17">
        <v>42366</v>
      </c>
      <c r="G43" s="18">
        <f>IF(AND(F65&lt;&gt;0,42366&lt;&gt;0),IF(100*42366/(F65-0)&lt;0.005,"*",100*42366/(F65-0)),0)</f>
        <v>0.9443317692545851</v>
      </c>
    </row>
    <row r="44" spans="1:7" ht="12.75">
      <c r="A44" s="11" t="s">
        <v>126</v>
      </c>
      <c r="B44" s="17">
        <v>97053</v>
      </c>
      <c r="C44" s="17">
        <v>0</v>
      </c>
      <c r="D44" s="17">
        <v>108409</v>
      </c>
      <c r="E44" s="17">
        <v>108409</v>
      </c>
      <c r="F44" s="17">
        <v>112100</v>
      </c>
      <c r="G44" s="18">
        <f>IF(AND(F65&lt;&gt;0,112100&lt;&gt;0),IF(100*112100/(F65-0)&lt;0.005,"*",100*112100/(F65-0)),0)</f>
        <v>2.498692143073195</v>
      </c>
    </row>
    <row r="45" spans="1:7" ht="12.75">
      <c r="A45" s="11" t="s">
        <v>127</v>
      </c>
      <c r="B45" s="17">
        <v>9381</v>
      </c>
      <c r="C45" s="17">
        <v>0</v>
      </c>
      <c r="D45" s="17">
        <v>10479</v>
      </c>
      <c r="E45" s="17">
        <v>10479</v>
      </c>
      <c r="F45" s="17">
        <v>10835</v>
      </c>
      <c r="G45" s="18">
        <f>IF(AND(F65&lt;&gt;0,10835&lt;&gt;0),IF(100*10835/(F65-0)&lt;0.005,"*",100*10835/(F65-0)),0)</f>
        <v>0.24151052069757423</v>
      </c>
    </row>
    <row r="46" spans="1:7" ht="12.75">
      <c r="A46" s="11" t="s">
        <v>128</v>
      </c>
      <c r="B46" s="17">
        <v>75991</v>
      </c>
      <c r="C46" s="17">
        <v>0</v>
      </c>
      <c r="D46" s="17">
        <v>84882</v>
      </c>
      <c r="E46" s="17">
        <v>84882</v>
      </c>
      <c r="F46" s="17">
        <v>87772</v>
      </c>
      <c r="G46" s="18">
        <f>IF(AND(F65&lt;&gt;0,87772&lt;&gt;0),IF(100*87772/(F65-0)&lt;0.005,"*",100*87772/(F65-0)),0)</f>
        <v>1.956424681372172</v>
      </c>
    </row>
    <row r="47" spans="1:7" ht="12.75">
      <c r="A47" s="11" t="s">
        <v>129</v>
      </c>
      <c r="B47" s="17">
        <v>7420</v>
      </c>
      <c r="C47" s="17">
        <v>0</v>
      </c>
      <c r="D47" s="17">
        <v>8288</v>
      </c>
      <c r="E47" s="17">
        <v>8288</v>
      </c>
      <c r="F47" s="17">
        <v>8570</v>
      </c>
      <c r="G47" s="18">
        <f>IF(AND(F65&lt;&gt;0,8570&lt;&gt;0),IF(100*8570/(F65-0)&lt;0.005,"*",100*8570/(F65-0)),0)</f>
        <v>0.1910240112947126</v>
      </c>
    </row>
    <row r="48" spans="1:7" ht="12.75">
      <c r="A48" s="11" t="s">
        <v>130</v>
      </c>
      <c r="B48" s="17">
        <v>101095</v>
      </c>
      <c r="C48" s="17">
        <v>0</v>
      </c>
      <c r="D48" s="17">
        <v>112924</v>
      </c>
      <c r="E48" s="17">
        <v>112924</v>
      </c>
      <c r="F48" s="17">
        <v>116768</v>
      </c>
      <c r="G48" s="18">
        <f>IF(AND(F65&lt;&gt;0,116768&lt;&gt;0),IF(100*116768/(F65-0)&lt;0.005,"*",100*116768/(F65-0)),0)</f>
        <v>2.602741161127305</v>
      </c>
    </row>
    <row r="49" spans="1:7" ht="12.75">
      <c r="A49" s="11" t="s">
        <v>131</v>
      </c>
      <c r="B49" s="17">
        <v>541590</v>
      </c>
      <c r="C49" s="17">
        <v>0</v>
      </c>
      <c r="D49" s="17">
        <v>604959</v>
      </c>
      <c r="E49" s="17">
        <v>604959</v>
      </c>
      <c r="F49" s="17">
        <v>625557</v>
      </c>
      <c r="G49" s="18">
        <f>IF(AND(F65&lt;&gt;0,625557&lt;&gt;0),IF(100*625557/(F65-0)&lt;0.005,"*",100*625557/(F65-0)),0)</f>
        <v>13.943571462483842</v>
      </c>
    </row>
    <row r="50" spans="1:7" ht="12.75">
      <c r="A50" s="11" t="s">
        <v>132</v>
      </c>
      <c r="B50" s="17">
        <v>19746</v>
      </c>
      <c r="C50" s="17">
        <v>0</v>
      </c>
      <c r="D50" s="17">
        <v>22056</v>
      </c>
      <c r="E50" s="17">
        <v>22056</v>
      </c>
      <c r="F50" s="17">
        <v>22807</v>
      </c>
      <c r="G50" s="18">
        <f>IF(AND(F65&lt;&gt;0,22807&lt;&gt;0),IF(100*22807/(F65-0)&lt;0.005,"*",100*22807/(F65-0)),0)</f>
        <v>0.5083646004198962</v>
      </c>
    </row>
    <row r="51" spans="1:7" ht="12.75">
      <c r="A51" s="11" t="s">
        <v>133</v>
      </c>
      <c r="B51" s="17">
        <v>5513</v>
      </c>
      <c r="C51" s="17">
        <v>0</v>
      </c>
      <c r="D51" s="17">
        <v>6158</v>
      </c>
      <c r="E51" s="17">
        <v>6158</v>
      </c>
      <c r="F51" s="17">
        <v>6368</v>
      </c>
      <c r="G51" s="18">
        <f>IF(AND(F65&lt;&gt;0,6368&lt;&gt;0),IF(100*6368/(F65-0)&lt;0.005,"*",100*6368/(F65-0)),0)</f>
        <v>0.1419417624182882</v>
      </c>
    </row>
    <row r="52" spans="1:7" ht="12.75">
      <c r="A52" s="11" t="s">
        <v>134</v>
      </c>
      <c r="B52" s="17">
        <v>71365</v>
      </c>
      <c r="C52" s="17">
        <v>0</v>
      </c>
      <c r="D52" s="17">
        <v>79715</v>
      </c>
      <c r="E52" s="17">
        <v>79715</v>
      </c>
      <c r="F52" s="17">
        <v>82429</v>
      </c>
      <c r="G52" s="18">
        <f>IF(AND(F65&lt;&gt;0,82429&lt;&gt;0),IF(100*82429/(F65-0)&lt;0.005,"*",100*82429/(F65-0)),0)</f>
        <v>1.837330014820521</v>
      </c>
    </row>
    <row r="53" spans="1:7" ht="12.75">
      <c r="A53" s="11" t="s">
        <v>135</v>
      </c>
      <c r="B53" s="17">
        <v>52422</v>
      </c>
      <c r="C53" s="17">
        <v>0</v>
      </c>
      <c r="D53" s="17">
        <v>58556</v>
      </c>
      <c r="E53" s="17">
        <v>58556</v>
      </c>
      <c r="F53" s="17">
        <v>60549</v>
      </c>
      <c r="G53" s="18">
        <f>IF(AND(F65&lt;&gt;0,60549&lt;&gt;0),IF(100*60549/(F65-0)&lt;0.005,"*",100*60549/(F65-0)),0)</f>
        <v>1.3496281050039152</v>
      </c>
    </row>
    <row r="54" spans="1:7" ht="12.75">
      <c r="A54" s="11" t="s">
        <v>136</v>
      </c>
      <c r="B54" s="17">
        <v>37035</v>
      </c>
      <c r="C54" s="17">
        <v>0</v>
      </c>
      <c r="D54" s="17">
        <v>41368</v>
      </c>
      <c r="E54" s="17">
        <v>41368</v>
      </c>
      <c r="F54" s="17">
        <v>42777</v>
      </c>
      <c r="G54" s="18">
        <f>IF(AND(F65&lt;&gt;0,42777&lt;&gt;0),IF(100*42777/(F65-0)&lt;0.005,"*",100*42777/(F65-0)),0)</f>
        <v>0.953492897450866</v>
      </c>
    </row>
    <row r="55" spans="1:7" ht="12.75">
      <c r="A55" s="11" t="s">
        <v>137</v>
      </c>
      <c r="B55" s="17">
        <v>45592</v>
      </c>
      <c r="C55" s="17">
        <v>0</v>
      </c>
      <c r="D55" s="17">
        <v>50927</v>
      </c>
      <c r="E55" s="17">
        <v>50927</v>
      </c>
      <c r="F55" s="17">
        <v>52660</v>
      </c>
      <c r="G55" s="18">
        <f>IF(AND(F65&lt;&gt;0,52660&lt;&gt;0),IF(100*52660/(F65-0)&lt;0.005,"*",100*52660/(F65-0)),0)</f>
        <v>1.1737834813045</v>
      </c>
    </row>
    <row r="56" spans="1:7" ht="12.75">
      <c r="A56" s="11" t="s">
        <v>138</v>
      </c>
      <c r="B56" s="17">
        <v>3510</v>
      </c>
      <c r="C56" s="17">
        <v>0</v>
      </c>
      <c r="D56" s="17">
        <v>3921</v>
      </c>
      <c r="E56" s="17">
        <v>3921</v>
      </c>
      <c r="F56" s="17">
        <v>4054</v>
      </c>
      <c r="G56" s="18">
        <f>IF(AND(F65&lt;&gt;0,4054&lt;&gt;0),IF(100*4054/(F65-0)&lt;0.005,"*",100*4054/(F65-0)),0)</f>
        <v>0.0903630503837532</v>
      </c>
    </row>
    <row r="57" spans="1:7" ht="12.75">
      <c r="A57" s="11" t="s">
        <v>139</v>
      </c>
      <c r="B57" s="17">
        <v>0</v>
      </c>
      <c r="C57" s="17">
        <v>0</v>
      </c>
      <c r="D57" s="17">
        <v>0</v>
      </c>
      <c r="E57" s="17">
        <v>0</v>
      </c>
      <c r="F57" s="17">
        <v>0</v>
      </c>
      <c r="G57" s="18">
        <f>IF(AND(F65&lt;&gt;0,0&lt;&gt;0),IF(100*0/(F65-0)&lt;0.005,"*",100*0/(F65-0)),0)</f>
        <v>0</v>
      </c>
    </row>
    <row r="58" spans="1:7" ht="12.75">
      <c r="A58" s="11" t="s">
        <v>140</v>
      </c>
      <c r="B58" s="17">
        <v>2936</v>
      </c>
      <c r="C58" s="17">
        <v>0</v>
      </c>
      <c r="D58" s="17">
        <v>3280</v>
      </c>
      <c r="E58" s="17">
        <v>3280</v>
      </c>
      <c r="F58" s="17">
        <v>3391</v>
      </c>
      <c r="G58" s="18">
        <f>IF(AND(F65&lt;&gt;0,3391&lt;&gt;0),IF(100*3391/(F65-0)&lt;0.005,"*",100*3391/(F65-0)),0)</f>
        <v>0.07558488008172351</v>
      </c>
    </row>
    <row r="59" spans="1:7" ht="12.75">
      <c r="A59" s="11" t="s">
        <v>141</v>
      </c>
      <c r="B59" s="17">
        <v>0</v>
      </c>
      <c r="C59" s="17">
        <v>0</v>
      </c>
      <c r="D59" s="17">
        <v>0</v>
      </c>
      <c r="E59" s="17">
        <v>0</v>
      </c>
      <c r="F59" s="17">
        <v>0</v>
      </c>
      <c r="G59" s="18">
        <f>IF(AND(F65&lt;&gt;0,0&lt;&gt;0),IF(100*0/(F65-0)&lt;0.005,"*",100*0/(F65-0)),0)</f>
        <v>0</v>
      </c>
    </row>
    <row r="60" spans="1:7" ht="12.75">
      <c r="A60" s="11" t="s">
        <v>142</v>
      </c>
      <c r="B60" s="17">
        <v>31311</v>
      </c>
      <c r="C60" s="17">
        <v>0</v>
      </c>
      <c r="D60" s="17">
        <v>34975</v>
      </c>
      <c r="E60" s="17">
        <v>34975</v>
      </c>
      <c r="F60" s="17">
        <v>36165</v>
      </c>
      <c r="G60" s="18">
        <f>IF(AND(F65&lt;&gt;0,36165&lt;&gt;0),IF(100*36165/(F65-0)&lt;0.005,"*",100*36165/(F65-0)),0)</f>
        <v>0.8061124117238367</v>
      </c>
    </row>
    <row r="61" spans="1:7" ht="12.75">
      <c r="A61" s="11" t="s">
        <v>143</v>
      </c>
      <c r="B61" s="17">
        <v>0</v>
      </c>
      <c r="C61" s="17">
        <v>0</v>
      </c>
      <c r="D61" s="17">
        <v>0</v>
      </c>
      <c r="E61" s="17">
        <v>0</v>
      </c>
      <c r="F61" s="17">
        <v>0</v>
      </c>
      <c r="G61" s="18">
        <f>IF(AND(F65&lt;&gt;0,0&lt;&gt;0),IF(100*0/(F65-0)&lt;0.005,"*",100*0/(F65-0)),0)</f>
        <v>0</v>
      </c>
    </row>
    <row r="62" spans="1:7" ht="12.75">
      <c r="A62" s="11" t="s">
        <v>144</v>
      </c>
      <c r="B62" s="17">
        <v>1067</v>
      </c>
      <c r="C62" s="17">
        <v>0</v>
      </c>
      <c r="D62" s="17">
        <v>1192</v>
      </c>
      <c r="E62" s="17">
        <v>1192</v>
      </c>
      <c r="F62" s="17">
        <v>1232</v>
      </c>
      <c r="G62" s="18">
        <f>IF(AND(F65&lt;&gt;0,1232&lt;&gt;0),IF(100*1232/(F65-0)&lt;0.005,"*",100*1232/(F65-0)),0)</f>
        <v>0.02746109473921656</v>
      </c>
    </row>
    <row r="63" spans="1:7" ht="12.75">
      <c r="A63" s="11" t="s">
        <v>145</v>
      </c>
      <c r="B63" s="17">
        <v>0</v>
      </c>
      <c r="C63" s="17">
        <v>0</v>
      </c>
      <c r="D63" s="17">
        <v>0</v>
      </c>
      <c r="E63" s="17">
        <v>0</v>
      </c>
      <c r="F63" s="17">
        <v>0</v>
      </c>
      <c r="G63" s="18">
        <f>IF(AND(F65&lt;&gt;0,0&lt;&gt;0),IF(100*0/(F65-0)&lt;0.005,"*",100*0/(F65-0)),0)</f>
        <v>0</v>
      </c>
    </row>
    <row r="64" spans="1:7" ht="12.75">
      <c r="A64" s="11" t="s">
        <v>146</v>
      </c>
      <c r="B64" s="17">
        <v>173029</v>
      </c>
      <c r="C64" s="17">
        <v>0</v>
      </c>
      <c r="D64" s="17">
        <v>0</v>
      </c>
      <c r="E64" s="17">
        <v>0</v>
      </c>
      <c r="F64" s="17">
        <v>0</v>
      </c>
      <c r="G64" s="18">
        <v>0</v>
      </c>
    </row>
    <row r="65" spans="1:7" ht="15" customHeight="1">
      <c r="A65" s="19" t="s">
        <v>87</v>
      </c>
      <c r="B65" s="20">
        <f>71813+11211+87618+48669+481307+47140+28232+12275+10429+223469+177260+11740+18262+132624+73266+25142+29960+78111+74804+11547+63770+50644+101884+47213+61217+72603+8061+16398+28807+5048+85123+45816+197249+129292+4873+114700+56877+36679+97053+9381+75991+7420+101095+541590+19746+5513+71365+52422+37035+45592+3510+0+2936+0+31311+0+1067+0+173029+0</f>
        <v>4057189</v>
      </c>
      <c r="C65" s="20">
        <f>0+0+0+0+0+0+0+0+0+0+0+0+0+0+0+0+0+0+0+0+0+0+0+0+0+0+0+0+0+0+0+0+0+0+0+0+0+0+0+0+0+0+0+0+0+0+0+0+0+0+0+0+0+0+0+0+0+0+0+0</f>
        <v>0</v>
      </c>
      <c r="D65" s="20">
        <f>80216+12523+97870+54364+537622+52656+31535+13711+11649+249616+198000+13114+20399+148142+81839+28084+33465+87250+83556+12898+71231+56570+113805+52737+68380+81098+9004+18317+32178+5639+95083+51177+220328+144420+5443+128121+63532+40971+108409+10479+84882+8288+112924+604959+22056+6158+79715+58556+41368+50927+3921+0+3280+0+34975+0+1192+0+0+0</f>
        <v>4338632</v>
      </c>
      <c r="E65" s="20">
        <f>SUM(C65:D65)</f>
        <v>4338632</v>
      </c>
      <c r="F65" s="20">
        <f>82947+12949+101202+56215+555928+54448+32609+14178+12046+258115+204742+13560+21093+153186+84625+29040+34605+90221+86401+13337+73657+58496+117680+54533+70708+83859+9311+18940+33273+5831+98320+52919+227830+149337+5628+132483+65695+42366+112100+10835+87772+8570+116768+625557+22807+6368+82429+60549+42777+52660+4054+0+3391+0+36165+0+1232+0+0+0</f>
        <v>4486347</v>
      </c>
      <c r="G65" s="21" t="s">
        <v>147</v>
      </c>
    </row>
    <row r="66" spans="1:7" ht="15" customHeight="1">
      <c r="A66" s="33" t="s">
        <v>148</v>
      </c>
      <c r="B66" s="33"/>
      <c r="C66" s="33"/>
      <c r="D66" s="33"/>
      <c r="E66" s="33"/>
      <c r="F66" s="33"/>
      <c r="G66" s="33"/>
    </row>
    <row r="67" spans="1:7" ht="15" customHeight="1">
      <c r="A67" s="26" t="s">
        <v>149</v>
      </c>
      <c r="B67" s="26"/>
      <c r="C67" s="26"/>
      <c r="D67" s="26"/>
      <c r="E67" s="26"/>
      <c r="F67" s="26"/>
      <c r="G67" s="26"/>
    </row>
  </sheetData>
  <sheetProtection/>
  <mergeCells count="6">
    <mergeCell ref="A67:G67"/>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183</v>
      </c>
      <c r="B1" s="10"/>
      <c r="C1" s="10"/>
      <c r="D1" s="10"/>
      <c r="E1" s="10"/>
      <c r="F1" s="10"/>
      <c r="G1" s="12" t="s">
        <v>204</v>
      </c>
    </row>
    <row r="2" spans="1:7" ht="12.75">
      <c r="A2" s="13" t="s">
        <v>205</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125624</v>
      </c>
      <c r="C6" s="17">
        <v>0</v>
      </c>
      <c r="D6" s="17">
        <v>127746</v>
      </c>
      <c r="E6" s="17">
        <v>127746</v>
      </c>
      <c r="F6" s="17">
        <v>129867</v>
      </c>
      <c r="G6" s="18">
        <f>IF(AND(F69&lt;&gt;0,129867&lt;&gt;0),IF(100*129867/(F69-0)&lt;0.005,"*",100*129867/(F69-0)),0)</f>
        <v>1.4499386159493135</v>
      </c>
    </row>
    <row r="7" spans="1:7" ht="12.75">
      <c r="A7" s="11" t="s">
        <v>89</v>
      </c>
      <c r="B7" s="17">
        <v>14697</v>
      </c>
      <c r="C7" s="17">
        <v>0</v>
      </c>
      <c r="D7" s="17">
        <v>14963</v>
      </c>
      <c r="E7" s="17">
        <v>14963</v>
      </c>
      <c r="F7" s="17">
        <v>15212</v>
      </c>
      <c r="G7" s="18">
        <f>IF(AND(F69&lt;&gt;0,15212&lt;&gt;0),IF(100*15212/(F69-0)&lt;0.005,"*",100*15212/(F69-0)),0)</f>
        <v>0.16983888305590303</v>
      </c>
    </row>
    <row r="8" spans="1:7" ht="12.75">
      <c r="A8" s="11" t="s">
        <v>90</v>
      </c>
      <c r="B8" s="17">
        <v>121514</v>
      </c>
      <c r="C8" s="17">
        <v>0</v>
      </c>
      <c r="D8" s="17">
        <v>123714</v>
      </c>
      <c r="E8" s="17">
        <v>123714</v>
      </c>
      <c r="F8" s="17">
        <v>125768</v>
      </c>
      <c r="G8" s="18">
        <f>IF(AND(F69&lt;&gt;0,125768&lt;&gt;0),IF(100*125768/(F69-0)&lt;0.005,"*",100*125768/(F69-0)),0)</f>
        <v>1.4041741154466745</v>
      </c>
    </row>
    <row r="9" spans="1:7" ht="12.75">
      <c r="A9" s="11" t="s">
        <v>91</v>
      </c>
      <c r="B9" s="17">
        <v>74054</v>
      </c>
      <c r="C9" s="17">
        <v>0</v>
      </c>
      <c r="D9" s="17">
        <v>75395</v>
      </c>
      <c r="E9" s="17">
        <v>75395</v>
      </c>
      <c r="F9" s="17">
        <v>76646</v>
      </c>
      <c r="G9" s="18">
        <f>IF(AND(F69&lt;&gt;0,76646&lt;&gt;0),IF(100*76646/(F69-0)&lt;0.005,"*",100*76646/(F69-0)),0)</f>
        <v>0.8557369859783555</v>
      </c>
    </row>
    <row r="10" spans="1:7" ht="12.75">
      <c r="A10" s="11" t="s">
        <v>92</v>
      </c>
      <c r="B10" s="17">
        <v>982263</v>
      </c>
      <c r="C10" s="17">
        <v>0</v>
      </c>
      <c r="D10" s="17">
        <v>997733</v>
      </c>
      <c r="E10" s="17">
        <v>997733</v>
      </c>
      <c r="F10" s="17">
        <v>1014302</v>
      </c>
      <c r="G10" s="18">
        <f>IF(AND(F69&lt;&gt;0,1014302&lt;&gt;0),IF(100*1014302/(F69-0)&lt;0.005,"*",100*1014302/(F69-0)),0)</f>
        <v>11.324475332722098</v>
      </c>
    </row>
    <row r="11" spans="1:7" ht="12.75">
      <c r="A11" s="11" t="s">
        <v>93</v>
      </c>
      <c r="B11" s="17">
        <v>82284</v>
      </c>
      <c r="C11" s="17">
        <v>0</v>
      </c>
      <c r="D11" s="17">
        <v>83774</v>
      </c>
      <c r="E11" s="17">
        <v>83774</v>
      </c>
      <c r="F11" s="17">
        <v>85165</v>
      </c>
      <c r="G11" s="18">
        <f>IF(AND(F69&lt;&gt;0,85165&lt;&gt;0),IF(100*85165/(F69-0)&lt;0.005,"*",100*85165/(F69-0)),0)</f>
        <v>0.9508498866326572</v>
      </c>
    </row>
    <row r="12" spans="1:7" ht="12.75">
      <c r="A12" s="11" t="s">
        <v>94</v>
      </c>
      <c r="B12" s="17">
        <v>63884</v>
      </c>
      <c r="C12" s="17">
        <v>0</v>
      </c>
      <c r="D12" s="17">
        <v>62322</v>
      </c>
      <c r="E12" s="17">
        <v>62322</v>
      </c>
      <c r="F12" s="17">
        <v>63356</v>
      </c>
      <c r="G12" s="18">
        <f>IF(AND(F69&lt;&gt;0,63356&lt;&gt;0),IF(100*63356/(F69-0)&lt;0.005,"*",100*63356/(F69-0)),0)</f>
        <v>0.7073568416309356</v>
      </c>
    </row>
    <row r="13" spans="1:7" ht="12.75">
      <c r="A13" s="11" t="s">
        <v>95</v>
      </c>
      <c r="B13" s="17">
        <v>15193</v>
      </c>
      <c r="C13" s="17">
        <v>0</v>
      </c>
      <c r="D13" s="17">
        <v>15468</v>
      </c>
      <c r="E13" s="17">
        <v>15468</v>
      </c>
      <c r="F13" s="17">
        <v>15724</v>
      </c>
      <c r="G13" s="18">
        <f>IF(AND(F69&lt;&gt;0,15724&lt;&gt;0),IF(100*15724/(F69-0)&lt;0.005,"*",100*15724/(F69-0)),0)</f>
        <v>0.17555525882007753</v>
      </c>
    </row>
    <row r="14" spans="1:7" ht="12.75">
      <c r="A14" s="11" t="s">
        <v>96</v>
      </c>
      <c r="B14" s="17">
        <v>27112</v>
      </c>
      <c r="C14" s="17">
        <v>0</v>
      </c>
      <c r="D14" s="17">
        <v>27510</v>
      </c>
      <c r="E14" s="17">
        <v>27510</v>
      </c>
      <c r="F14" s="17">
        <v>27967</v>
      </c>
      <c r="G14" s="18">
        <f>IF(AND(F69&lt;&gt;0,27967&lt;&gt;0),IF(100*27967/(F69-0)&lt;0.005,"*",100*27967/(F69-0)),0)</f>
        <v>0.31224586132161714</v>
      </c>
    </row>
    <row r="15" spans="1:7" ht="12.75">
      <c r="A15" s="11" t="s">
        <v>97</v>
      </c>
      <c r="B15" s="17">
        <v>319675</v>
      </c>
      <c r="C15" s="17">
        <v>0</v>
      </c>
      <c r="D15" s="17">
        <v>325464</v>
      </c>
      <c r="E15" s="17">
        <v>325464</v>
      </c>
      <c r="F15" s="17">
        <v>330868</v>
      </c>
      <c r="G15" s="18">
        <f>IF(AND(F69&lt;&gt;0,330868&lt;&gt;0),IF(100*330868/(F69-0)&lt;0.005,"*",100*330868/(F69-0)),0)</f>
        <v>3.694073860040792</v>
      </c>
    </row>
    <row r="16" spans="1:7" ht="12.75">
      <c r="A16" s="11" t="s">
        <v>98</v>
      </c>
      <c r="B16" s="17">
        <v>202157</v>
      </c>
      <c r="C16" s="17">
        <v>0</v>
      </c>
      <c r="D16" s="17">
        <v>205369</v>
      </c>
      <c r="E16" s="17">
        <v>205369</v>
      </c>
      <c r="F16" s="17">
        <v>208779</v>
      </c>
      <c r="G16" s="18">
        <f>IF(AND(F69&lt;&gt;0,208779&lt;&gt;0),IF(100*208779/(F69-0)&lt;0.005,"*",100*208779/(F69-0)),0)</f>
        <v>2.330975030602707</v>
      </c>
    </row>
    <row r="17" spans="1:7" ht="12.75">
      <c r="A17" s="11" t="s">
        <v>99</v>
      </c>
      <c r="B17" s="17">
        <v>25924</v>
      </c>
      <c r="C17" s="17">
        <v>0</v>
      </c>
      <c r="D17" s="17">
        <v>26393</v>
      </c>
      <c r="E17" s="17">
        <v>26393</v>
      </c>
      <c r="F17" s="17">
        <v>26831</v>
      </c>
      <c r="G17" s="18">
        <f>IF(AND(F69&lt;&gt;0,26831&lt;&gt;0),IF(100*26831/(F69-0)&lt;0.005,"*",100*26831/(F69-0)),0)</f>
        <v>0.299562652594855</v>
      </c>
    </row>
    <row r="18" spans="1:7" ht="12.75">
      <c r="A18" s="11" t="s">
        <v>100</v>
      </c>
      <c r="B18" s="17">
        <v>26666</v>
      </c>
      <c r="C18" s="17">
        <v>0</v>
      </c>
      <c r="D18" s="17">
        <v>27149</v>
      </c>
      <c r="E18" s="17">
        <v>27149</v>
      </c>
      <c r="F18" s="17">
        <v>27600</v>
      </c>
      <c r="G18" s="18">
        <f>IF(AND(F69&lt;&gt;0,27600&lt;&gt;0),IF(100*27600/(F69-0)&lt;0.005,"*",100*27600/(F69-0)),0)</f>
        <v>0.3081483810375311</v>
      </c>
    </row>
    <row r="19" spans="1:7" ht="12.75">
      <c r="A19" s="11" t="s">
        <v>101</v>
      </c>
      <c r="B19" s="17">
        <v>318351</v>
      </c>
      <c r="C19" s="17">
        <v>0</v>
      </c>
      <c r="D19" s="17">
        <v>322829</v>
      </c>
      <c r="E19" s="17">
        <v>322829</v>
      </c>
      <c r="F19" s="17">
        <v>328190</v>
      </c>
      <c r="G19" s="18">
        <f>IF(AND(F69&lt;&gt;0,328190&lt;&gt;0),IF(100*328190/(F69-0)&lt;0.005,"*",100*328190/(F69-0)),0)</f>
        <v>3.6641745352430197</v>
      </c>
    </row>
    <row r="20" spans="1:7" ht="12.75">
      <c r="A20" s="11" t="s">
        <v>102</v>
      </c>
      <c r="B20" s="17">
        <v>114049</v>
      </c>
      <c r="C20" s="17">
        <v>0</v>
      </c>
      <c r="D20" s="17">
        <v>115435</v>
      </c>
      <c r="E20" s="17">
        <v>115435</v>
      </c>
      <c r="F20" s="17">
        <v>117352</v>
      </c>
      <c r="G20" s="18">
        <f>IF(AND(F69&lt;&gt;0,117352&lt;&gt;0),IF(100*117352/(F69-0)&lt;0.005,"*",100*117352/(F69-0)),0)</f>
        <v>1.3102111888230563</v>
      </c>
    </row>
    <row r="21" spans="1:7" ht="12.75">
      <c r="A21" s="11" t="s">
        <v>103</v>
      </c>
      <c r="B21" s="17">
        <v>60498</v>
      </c>
      <c r="C21" s="17">
        <v>0</v>
      </c>
      <c r="D21" s="17">
        <v>61594</v>
      </c>
      <c r="E21" s="17">
        <v>61594</v>
      </c>
      <c r="F21" s="17">
        <v>62616</v>
      </c>
      <c r="G21" s="18">
        <f>IF(AND(F69&lt;&gt;0,62616&lt;&gt;0),IF(100*62616/(F69-0)&lt;0.005,"*",100*62616/(F69-0)),0)</f>
        <v>0.6990948922842771</v>
      </c>
    </row>
    <row r="22" spans="1:7" ht="12.75">
      <c r="A22" s="11" t="s">
        <v>104</v>
      </c>
      <c r="B22" s="17">
        <v>60785</v>
      </c>
      <c r="C22" s="17">
        <v>0</v>
      </c>
      <c r="D22" s="17">
        <v>61885</v>
      </c>
      <c r="E22" s="17">
        <v>61885</v>
      </c>
      <c r="F22" s="17">
        <v>62913</v>
      </c>
      <c r="G22" s="18">
        <f>IF(AND(F69&lt;&gt;0,62913&lt;&gt;0),IF(100*62913/(F69-0)&lt;0.005,"*",100*62913/(F69-0)),0)</f>
        <v>0.7024108368193549</v>
      </c>
    </row>
    <row r="23" spans="1:7" ht="12.75">
      <c r="A23" s="11" t="s">
        <v>105</v>
      </c>
      <c r="B23" s="17">
        <v>128205</v>
      </c>
      <c r="C23" s="17">
        <v>0</v>
      </c>
      <c r="D23" s="17">
        <v>130527</v>
      </c>
      <c r="E23" s="17">
        <v>130527</v>
      </c>
      <c r="F23" s="17">
        <v>132695</v>
      </c>
      <c r="G23" s="18">
        <f>IF(AND(F69&lt;&gt;0,132695&lt;&gt;0),IF(100*132695/(F69-0)&lt;0.005,"*",100*132695/(F69-0)),0)</f>
        <v>1.481512660209246</v>
      </c>
    </row>
    <row r="24" spans="1:7" ht="12.75">
      <c r="A24" s="11" t="s">
        <v>106</v>
      </c>
      <c r="B24" s="17">
        <v>166180</v>
      </c>
      <c r="C24" s="17">
        <v>0</v>
      </c>
      <c r="D24" s="17">
        <v>167726</v>
      </c>
      <c r="E24" s="17">
        <v>167726</v>
      </c>
      <c r="F24" s="17">
        <v>170511</v>
      </c>
      <c r="G24" s="18">
        <f>IF(AND(F69&lt;&gt;0,170511&lt;&gt;0),IF(100*170511/(F69-0)&lt;0.005,"*",100*170511/(F69-0)),0)</f>
        <v>1.9037206014163215</v>
      </c>
    </row>
    <row r="25" spans="1:7" ht="12.75">
      <c r="A25" s="11" t="s">
        <v>107</v>
      </c>
      <c r="B25" s="17">
        <v>32126</v>
      </c>
      <c r="C25" s="17">
        <v>0</v>
      </c>
      <c r="D25" s="17">
        <v>32708</v>
      </c>
      <c r="E25" s="17">
        <v>32708</v>
      </c>
      <c r="F25" s="17">
        <v>33251</v>
      </c>
      <c r="G25" s="18">
        <f>IF(AND(F69&lt;&gt;0,33251&lt;&gt;0),IF(100*33251/(F69-0)&lt;0.005,"*",100*33251/(F69-0)),0)</f>
        <v>0.3712406455753242</v>
      </c>
    </row>
    <row r="26" spans="1:7" ht="12.75">
      <c r="A26" s="11" t="s">
        <v>108</v>
      </c>
      <c r="B26" s="17">
        <v>91321</v>
      </c>
      <c r="C26" s="17">
        <v>0</v>
      </c>
      <c r="D26" s="17">
        <v>92974</v>
      </c>
      <c r="E26" s="17">
        <v>92974</v>
      </c>
      <c r="F26" s="17">
        <v>94518</v>
      </c>
      <c r="G26" s="18">
        <f>IF(AND(F69&lt;&gt;0,94518&lt;&gt;0),IF(100*94518/(F69-0)&lt;0.005,"*",100*94518/(F69-0)),0)</f>
        <v>1.0552742274965712</v>
      </c>
    </row>
    <row r="27" spans="1:7" ht="12.75">
      <c r="A27" s="11" t="s">
        <v>109</v>
      </c>
      <c r="B27" s="17">
        <v>125291</v>
      </c>
      <c r="C27" s="17">
        <v>0</v>
      </c>
      <c r="D27" s="17">
        <v>127560</v>
      </c>
      <c r="E27" s="17">
        <v>127560</v>
      </c>
      <c r="F27" s="17">
        <v>129678</v>
      </c>
      <c r="G27" s="18">
        <f>IF(AND(F69&lt;&gt;0,129678&lt;&gt;0),IF(100*129678/(F69-0)&lt;0.005,"*",100*129678/(F69-0)),0)</f>
        <v>1.4478284694269914</v>
      </c>
    </row>
    <row r="28" spans="1:7" ht="12.75">
      <c r="A28" s="11" t="s">
        <v>110</v>
      </c>
      <c r="B28" s="17">
        <v>271039</v>
      </c>
      <c r="C28" s="17">
        <v>0</v>
      </c>
      <c r="D28" s="17">
        <v>275840</v>
      </c>
      <c r="E28" s="17">
        <v>275840</v>
      </c>
      <c r="F28" s="17">
        <v>280420</v>
      </c>
      <c r="G28" s="18">
        <f>IF(AND(F69&lt;&gt;0,280420&lt;&gt;0),IF(100*280420/(F69-0)&lt;0.005,"*",100*280420/(F69-0)),0)</f>
        <v>3.130832210526974</v>
      </c>
    </row>
    <row r="29" spans="1:7" ht="12.75">
      <c r="A29" s="11" t="s">
        <v>111</v>
      </c>
      <c r="B29" s="17">
        <v>85634</v>
      </c>
      <c r="C29" s="17">
        <v>0</v>
      </c>
      <c r="D29" s="17">
        <v>87127</v>
      </c>
      <c r="E29" s="17">
        <v>87127</v>
      </c>
      <c r="F29" s="17">
        <v>88574</v>
      </c>
      <c r="G29" s="18">
        <f>IF(AND(F69&lt;&gt;0,88574&lt;&gt;0),IF(100*88574/(F69-0)&lt;0.005,"*",100*88574/(F69-0)),0)</f>
        <v>0.988910677609358</v>
      </c>
    </row>
    <row r="30" spans="1:7" ht="12.75">
      <c r="A30" s="11" t="s">
        <v>112</v>
      </c>
      <c r="B30" s="17">
        <v>188587</v>
      </c>
      <c r="C30" s="17">
        <v>0</v>
      </c>
      <c r="D30" s="17">
        <v>189256</v>
      </c>
      <c r="E30" s="17">
        <v>189256</v>
      </c>
      <c r="F30" s="17">
        <v>192398</v>
      </c>
      <c r="G30" s="18">
        <f>IF(AND(F69&lt;&gt;0,192398&lt;&gt;0),IF(100*192398/(F69-0)&lt;0.005,"*",100*192398/(F69-0)),0)</f>
        <v>2.1480845005383666</v>
      </c>
    </row>
    <row r="31" spans="1:7" ht="12.75">
      <c r="A31" s="11" t="s">
        <v>113</v>
      </c>
      <c r="B31" s="17">
        <v>143116</v>
      </c>
      <c r="C31" s="17">
        <v>0</v>
      </c>
      <c r="D31" s="17">
        <v>144265</v>
      </c>
      <c r="E31" s="17">
        <v>144265</v>
      </c>
      <c r="F31" s="17">
        <v>146660</v>
      </c>
      <c r="G31" s="18">
        <f>IF(AND(F69&lt;&gt;0,146660&lt;&gt;0),IF(100*146660/(F69-0)&lt;0.005,"*",100*146660/(F69-0)),0)</f>
        <v>1.6374290421363882</v>
      </c>
    </row>
    <row r="32" spans="1:7" ht="12.75">
      <c r="A32" s="11" t="s">
        <v>114</v>
      </c>
      <c r="B32" s="17">
        <v>24403</v>
      </c>
      <c r="C32" s="17">
        <v>0</v>
      </c>
      <c r="D32" s="17">
        <v>24845</v>
      </c>
      <c r="E32" s="17">
        <v>24845</v>
      </c>
      <c r="F32" s="17">
        <v>25258</v>
      </c>
      <c r="G32" s="18">
        <f>IF(AND(F69&lt;&gt;0,25258&lt;&gt;0),IF(100*25258/(F69-0)&lt;0.005,"*",100*25258/(F69-0)),0)</f>
        <v>0.2820004278349986</v>
      </c>
    </row>
    <row r="33" spans="1:7" ht="12.75">
      <c r="A33" s="11" t="s">
        <v>115</v>
      </c>
      <c r="B33" s="17">
        <v>43263</v>
      </c>
      <c r="C33" s="17">
        <v>0</v>
      </c>
      <c r="D33" s="17">
        <v>43802</v>
      </c>
      <c r="E33" s="17">
        <v>43802</v>
      </c>
      <c r="F33" s="17">
        <v>44530</v>
      </c>
      <c r="G33" s="18">
        <f>IF(AND(F69&lt;&gt;0,44530&lt;&gt;0),IF(100*44530/(F69-0)&lt;0.005,"*",100*44530/(F69-0)),0)</f>
        <v>0.497168384333379</v>
      </c>
    </row>
    <row r="34" spans="1:7" ht="12.75">
      <c r="A34" s="11" t="s">
        <v>116</v>
      </c>
      <c r="B34" s="17">
        <v>28822</v>
      </c>
      <c r="C34" s="17">
        <v>0</v>
      </c>
      <c r="D34" s="17">
        <v>29344</v>
      </c>
      <c r="E34" s="17">
        <v>29344</v>
      </c>
      <c r="F34" s="17">
        <v>29831</v>
      </c>
      <c r="G34" s="18">
        <f>IF(AND(F69&lt;&gt;0,29831&lt;&gt;0),IF(100*29831/(F69-0)&lt;0.005,"*",100*29831/(F69-0)),0)</f>
        <v>0.3330570418380649</v>
      </c>
    </row>
    <row r="35" spans="1:7" ht="12.75">
      <c r="A35" s="11" t="s">
        <v>117</v>
      </c>
      <c r="B35" s="17">
        <v>15764</v>
      </c>
      <c r="C35" s="17">
        <v>0</v>
      </c>
      <c r="D35" s="17">
        <v>16049</v>
      </c>
      <c r="E35" s="17">
        <v>16049</v>
      </c>
      <c r="F35" s="17">
        <v>16316</v>
      </c>
      <c r="G35" s="18">
        <f>IF(AND(F69&lt;&gt;0,16316&lt;&gt;0),IF(100*16316/(F69-0)&lt;0.005,"*",100*16316/(F69-0)),0)</f>
        <v>0.18216481829740427</v>
      </c>
    </row>
    <row r="36" spans="1:7" ht="12.75">
      <c r="A36" s="11" t="s">
        <v>118</v>
      </c>
      <c r="B36" s="17">
        <v>147477</v>
      </c>
      <c r="C36" s="17">
        <v>0</v>
      </c>
      <c r="D36" s="17">
        <v>150147</v>
      </c>
      <c r="E36" s="17">
        <v>150147</v>
      </c>
      <c r="F36" s="17">
        <v>152640</v>
      </c>
      <c r="G36" s="18">
        <f>IF(AND(F69&lt;&gt;0,152640&lt;&gt;0),IF(100*152640/(F69-0)&lt;0.005,"*",100*152640/(F69-0)),0)</f>
        <v>1.70419452469452</v>
      </c>
    </row>
    <row r="37" spans="1:7" ht="12.75">
      <c r="A37" s="11" t="s">
        <v>119</v>
      </c>
      <c r="B37" s="17">
        <v>62175</v>
      </c>
      <c r="C37" s="17">
        <v>0</v>
      </c>
      <c r="D37" s="17">
        <v>62916</v>
      </c>
      <c r="E37" s="17">
        <v>62916</v>
      </c>
      <c r="F37" s="17">
        <v>63961</v>
      </c>
      <c r="G37" s="18">
        <f>IF(AND(F69&lt;&gt;0,63961&lt;&gt;0),IF(100*63961/(F69-0)&lt;0.005,"*",100*63961/(F69-0)),0)</f>
        <v>0.7141115434616496</v>
      </c>
    </row>
    <row r="38" spans="1:7" ht="12.75">
      <c r="A38" s="11" t="s">
        <v>120</v>
      </c>
      <c r="B38" s="17">
        <v>502313</v>
      </c>
      <c r="C38" s="17">
        <v>0</v>
      </c>
      <c r="D38" s="17">
        <v>510854</v>
      </c>
      <c r="E38" s="17">
        <v>510854</v>
      </c>
      <c r="F38" s="17">
        <v>519336</v>
      </c>
      <c r="G38" s="18">
        <f>IF(AND(F69&lt;&gt;0,519336&lt;&gt;0),IF(100*519336/(F69-0)&lt;0.005,"*",100*519336/(F69-0)),0)</f>
        <v>5.798280710670554</v>
      </c>
    </row>
    <row r="39" spans="1:7" ht="12.75">
      <c r="A39" s="11" t="s">
        <v>121</v>
      </c>
      <c r="B39" s="17">
        <v>171236</v>
      </c>
      <c r="C39" s="17">
        <v>0</v>
      </c>
      <c r="D39" s="17">
        <v>174337</v>
      </c>
      <c r="E39" s="17">
        <v>174337</v>
      </c>
      <c r="F39" s="17">
        <v>177231</v>
      </c>
      <c r="G39" s="18">
        <f>IF(AND(F69&lt;&gt;0,177231&lt;&gt;0),IF(100*177231/(F69-0)&lt;0.005,"*",100*177231/(F69-0)),0)</f>
        <v>1.9787480333211116</v>
      </c>
    </row>
    <row r="40" spans="1:7" ht="12.75">
      <c r="A40" s="11" t="s">
        <v>122</v>
      </c>
      <c r="B40" s="17">
        <v>20386</v>
      </c>
      <c r="C40" s="17">
        <v>0</v>
      </c>
      <c r="D40" s="17">
        <v>20755</v>
      </c>
      <c r="E40" s="17">
        <v>20755</v>
      </c>
      <c r="F40" s="17">
        <v>21100</v>
      </c>
      <c r="G40" s="18">
        <f>IF(AND(F69&lt;&gt;0,21100&lt;&gt;0),IF(100*21100/(F69-0)&lt;0.005,"*",100*21100/(F69-0)),0)</f>
        <v>0.23557720434390966</v>
      </c>
    </row>
    <row r="41" spans="1:7" ht="12.75">
      <c r="A41" s="11" t="s">
        <v>123</v>
      </c>
      <c r="B41" s="17">
        <v>292935</v>
      </c>
      <c r="C41" s="17">
        <v>0</v>
      </c>
      <c r="D41" s="17">
        <v>297669</v>
      </c>
      <c r="E41" s="17">
        <v>297669</v>
      </c>
      <c r="F41" s="17">
        <v>302612</v>
      </c>
      <c r="G41" s="18">
        <f>IF(AND(F69&lt;&gt;0,302612&lt;&gt;0),IF(100*302612/(F69-0)&lt;0.005,"*",100*302612/(F69-0)),0)</f>
        <v>3.378601372555412</v>
      </c>
    </row>
    <row r="42" spans="1:7" ht="12.75">
      <c r="A42" s="11" t="s">
        <v>124</v>
      </c>
      <c r="B42" s="17">
        <v>98699</v>
      </c>
      <c r="C42" s="17">
        <v>0</v>
      </c>
      <c r="D42" s="17">
        <v>100487</v>
      </c>
      <c r="E42" s="17">
        <v>100487</v>
      </c>
      <c r="F42" s="17">
        <v>102155</v>
      </c>
      <c r="G42" s="18">
        <f>IF(AND(F69&lt;&gt;0,102155&lt;&gt;0),IF(100*102155/(F69-0)&lt;0.005,"*",100*102155/(F69-0)),0)</f>
        <v>1.1405397777133692</v>
      </c>
    </row>
    <row r="43" spans="1:7" ht="12.75">
      <c r="A43" s="11" t="s">
        <v>125</v>
      </c>
      <c r="B43" s="17">
        <v>71786</v>
      </c>
      <c r="C43" s="17">
        <v>0</v>
      </c>
      <c r="D43" s="17">
        <v>73086</v>
      </c>
      <c r="E43" s="17">
        <v>73086</v>
      </c>
      <c r="F43" s="17">
        <v>74299</v>
      </c>
      <c r="G43" s="18">
        <f>IF(AND(F69&lt;&gt;0,74299&lt;&gt;0),IF(100*74299/(F69-0)&lt;0.005,"*",100*74299/(F69-0)),0)</f>
        <v>0.8295332087937509</v>
      </c>
    </row>
    <row r="44" spans="1:7" ht="12.75">
      <c r="A44" s="11" t="s">
        <v>126</v>
      </c>
      <c r="B44" s="17">
        <v>271579</v>
      </c>
      <c r="C44" s="17">
        <v>0</v>
      </c>
      <c r="D44" s="17">
        <v>275584</v>
      </c>
      <c r="E44" s="17">
        <v>275584</v>
      </c>
      <c r="F44" s="17">
        <v>280160</v>
      </c>
      <c r="G44" s="18">
        <f>IF(AND(F69&lt;&gt;0,280160&lt;&gt;0),IF(100*280160/(F69-0)&lt;0.005,"*",100*280160/(F69-0)),0)</f>
        <v>3.127929363459229</v>
      </c>
    </row>
    <row r="45" spans="1:7" ht="12.75">
      <c r="A45" s="11" t="s">
        <v>127</v>
      </c>
      <c r="B45" s="17">
        <v>25486</v>
      </c>
      <c r="C45" s="17">
        <v>0</v>
      </c>
      <c r="D45" s="17">
        <v>25948</v>
      </c>
      <c r="E45" s="17">
        <v>25948</v>
      </c>
      <c r="F45" s="17">
        <v>26379</v>
      </c>
      <c r="G45" s="18">
        <f>IF(AND(F69&lt;&gt;0,26379&lt;&gt;0),IF(100*26379/(F69-0)&lt;0.005,"*",100*26379/(F69-0)),0)</f>
        <v>0.2945161646155447</v>
      </c>
    </row>
    <row r="46" spans="1:7" ht="12.75">
      <c r="A46" s="11" t="s">
        <v>128</v>
      </c>
      <c r="B46" s="17">
        <v>102342</v>
      </c>
      <c r="C46" s="17">
        <v>0</v>
      </c>
      <c r="D46" s="17">
        <v>103275</v>
      </c>
      <c r="E46" s="17">
        <v>103275</v>
      </c>
      <c r="F46" s="17">
        <v>104990</v>
      </c>
      <c r="G46" s="18">
        <f>IF(AND(F69&lt;&gt;0,104990&lt;&gt;0),IF(100*104990/(F69-0)&lt;0.005,"*",100*104990/(F69-0)),0)</f>
        <v>1.1721919755482026</v>
      </c>
    </row>
    <row r="47" spans="1:7" ht="12.75">
      <c r="A47" s="11" t="s">
        <v>129</v>
      </c>
      <c r="B47" s="17">
        <v>21968</v>
      </c>
      <c r="C47" s="17">
        <v>0</v>
      </c>
      <c r="D47" s="17">
        <v>22366</v>
      </c>
      <c r="E47" s="17">
        <v>22366</v>
      </c>
      <c r="F47" s="17">
        <v>22737</v>
      </c>
      <c r="G47" s="18">
        <f>IF(AND(F69&lt;&gt;0,22737&lt;&gt;0),IF(100*22737/(F69-0)&lt;0.005,"*",100*22737/(F69-0)),0)</f>
        <v>0.2538539760742879</v>
      </c>
    </row>
    <row r="48" spans="1:7" ht="12.75">
      <c r="A48" s="11" t="s">
        <v>130</v>
      </c>
      <c r="B48" s="17">
        <v>137498</v>
      </c>
      <c r="C48" s="17">
        <v>0</v>
      </c>
      <c r="D48" s="17">
        <v>139733</v>
      </c>
      <c r="E48" s="17">
        <v>139733</v>
      </c>
      <c r="F48" s="17">
        <v>142053</v>
      </c>
      <c r="G48" s="18">
        <f>IF(AND(F69&lt;&gt;0,142053&lt;&gt;0),IF(100*142053/(F69-0)&lt;0.005,"*",100*142053/(F69-0)),0)</f>
        <v>1.5859928250552322</v>
      </c>
    </row>
    <row r="49" spans="1:7" ht="12.75">
      <c r="A49" s="11" t="s">
        <v>131</v>
      </c>
      <c r="B49" s="17">
        <v>568315</v>
      </c>
      <c r="C49" s="17">
        <v>0</v>
      </c>
      <c r="D49" s="17">
        <v>576982</v>
      </c>
      <c r="E49" s="17">
        <v>576982</v>
      </c>
      <c r="F49" s="17">
        <v>586564</v>
      </c>
      <c r="G49" s="18">
        <f>IF(AND(F69&lt;&gt;0,586564&lt;&gt;0),IF(100*586564/(F69-0)&lt;0.005,"*",100*586564/(F69-0)),0)</f>
        <v>6.548867644018058</v>
      </c>
    </row>
    <row r="50" spans="1:7" ht="12.75">
      <c r="A50" s="11" t="s">
        <v>132</v>
      </c>
      <c r="B50" s="17">
        <v>46893</v>
      </c>
      <c r="C50" s="17">
        <v>0</v>
      </c>
      <c r="D50" s="17">
        <v>47742</v>
      </c>
      <c r="E50" s="17">
        <v>47742</v>
      </c>
      <c r="F50" s="17">
        <v>48535</v>
      </c>
      <c r="G50" s="18">
        <f>IF(AND(F69&lt;&gt;0,48535&lt;&gt;0),IF(100*48535/(F69-0)&lt;0.005,"*",100*48535/(F69-0)),0)</f>
        <v>0.5418833939730643</v>
      </c>
    </row>
    <row r="51" spans="1:7" ht="12.75">
      <c r="A51" s="11" t="s">
        <v>133</v>
      </c>
      <c r="B51" s="17">
        <v>15297</v>
      </c>
      <c r="C51" s="17">
        <v>0</v>
      </c>
      <c r="D51" s="17">
        <v>15574</v>
      </c>
      <c r="E51" s="17">
        <v>15574</v>
      </c>
      <c r="F51" s="17">
        <v>15833</v>
      </c>
      <c r="G51" s="18">
        <f>IF(AND(F69&lt;&gt;0,15833&lt;&gt;0),IF(100*15833/(F69-0)&lt;0.005,"*",100*15833/(F69-0)),0)</f>
        <v>0.17677222162924747</v>
      </c>
    </row>
    <row r="52" spans="1:7" ht="12.75">
      <c r="A52" s="11" t="s">
        <v>134</v>
      </c>
      <c r="B52" s="17">
        <v>115947</v>
      </c>
      <c r="C52" s="17">
        <v>0</v>
      </c>
      <c r="D52" s="17">
        <v>116876</v>
      </c>
      <c r="E52" s="17">
        <v>116876</v>
      </c>
      <c r="F52" s="17">
        <v>118817</v>
      </c>
      <c r="G52" s="18">
        <f>IF(AND(F69&lt;&gt;0,118817&lt;&gt;0),IF(100*118817/(F69-0)&lt;0.005,"*",100*118817/(F69-0)),0)</f>
        <v>1.3265676155701571</v>
      </c>
    </row>
    <row r="53" spans="1:7" ht="12.75">
      <c r="A53" s="11" t="s">
        <v>135</v>
      </c>
      <c r="B53" s="17">
        <v>121849</v>
      </c>
      <c r="C53" s="17">
        <v>0</v>
      </c>
      <c r="D53" s="17">
        <v>123036</v>
      </c>
      <c r="E53" s="17">
        <v>123036</v>
      </c>
      <c r="F53" s="17">
        <v>125079</v>
      </c>
      <c r="G53" s="18">
        <f>IF(AND(F69&lt;&gt;0,125079&lt;&gt;0),IF(100*125079/(F69-0)&lt;0.005,"*",100*125079/(F69-0)),0)</f>
        <v>1.3964815707171505</v>
      </c>
    </row>
    <row r="54" spans="1:7" ht="12.75">
      <c r="A54" s="11" t="s">
        <v>136</v>
      </c>
      <c r="B54" s="17">
        <v>59559</v>
      </c>
      <c r="C54" s="17">
        <v>0</v>
      </c>
      <c r="D54" s="17">
        <v>60637</v>
      </c>
      <c r="E54" s="17">
        <v>60637</v>
      </c>
      <c r="F54" s="17">
        <v>61644</v>
      </c>
      <c r="G54" s="18">
        <f>IF(AND(F69&lt;&gt;0,61644&lt;&gt;0),IF(100*61644/(F69-0)&lt;0.005,"*",100*61644/(F69-0)),0)</f>
        <v>0.6882427101694771</v>
      </c>
    </row>
    <row r="55" spans="1:7" ht="12.75">
      <c r="A55" s="11" t="s">
        <v>137</v>
      </c>
      <c r="B55" s="17">
        <v>106516</v>
      </c>
      <c r="C55" s="17">
        <v>0</v>
      </c>
      <c r="D55" s="17">
        <v>108445</v>
      </c>
      <c r="E55" s="17">
        <v>108445</v>
      </c>
      <c r="F55" s="17">
        <v>110246</v>
      </c>
      <c r="G55" s="18">
        <f>IF(AND(F69&lt;&gt;0,110246&lt;&gt;0),IF(100*110246/(F69-0)&lt;0.005,"*",100*110246/(F69-0)),0)</f>
        <v>1.2308741455023064</v>
      </c>
    </row>
    <row r="56" spans="1:7" ht="12.75">
      <c r="A56" s="11" t="s">
        <v>138</v>
      </c>
      <c r="B56" s="17">
        <v>13607</v>
      </c>
      <c r="C56" s="17">
        <v>0</v>
      </c>
      <c r="D56" s="17">
        <v>13854</v>
      </c>
      <c r="E56" s="17">
        <v>13854</v>
      </c>
      <c r="F56" s="17">
        <v>14084</v>
      </c>
      <c r="G56" s="18">
        <f>IF(AND(F69&lt;&gt;0,14084&lt;&gt;0),IF(100*14084/(F69-0)&lt;0.005,"*",100*14084/(F69-0)),0)</f>
        <v>0.1572449927004561</v>
      </c>
    </row>
    <row r="57" spans="1:7" ht="12.75">
      <c r="A57" s="11" t="s">
        <v>139</v>
      </c>
      <c r="B57" s="17">
        <v>2318</v>
      </c>
      <c r="C57" s="17">
        <v>0</v>
      </c>
      <c r="D57" s="17">
        <v>2360</v>
      </c>
      <c r="E57" s="17">
        <v>2360</v>
      </c>
      <c r="F57" s="17">
        <v>2399</v>
      </c>
      <c r="G57" s="18">
        <f>IF(AND(F69&lt;&gt;0,2399&lt;&gt;0),IF(100*2399/(F69-0)&lt;0.005,"*",100*2399/(F69-0)),0)</f>
        <v>0.02678434659815352</v>
      </c>
    </row>
    <row r="58" spans="1:7" ht="12.75">
      <c r="A58" s="11" t="s">
        <v>140</v>
      </c>
      <c r="B58" s="17">
        <v>2537</v>
      </c>
      <c r="C58" s="17">
        <v>0</v>
      </c>
      <c r="D58" s="17">
        <v>2583</v>
      </c>
      <c r="E58" s="17">
        <v>2583</v>
      </c>
      <c r="F58" s="17">
        <v>2626</v>
      </c>
      <c r="G58" s="18">
        <f>IF(AND(F69&lt;&gt;0,2626&lt;&gt;0),IF(100*2626/(F69-0)&lt;0.005,"*",100*2626/(F69-0)),0)</f>
        <v>0.029318755384223072</v>
      </c>
    </row>
    <row r="59" spans="1:7" ht="12.75">
      <c r="A59" s="11" t="s">
        <v>141</v>
      </c>
      <c r="B59" s="17">
        <v>1794</v>
      </c>
      <c r="C59" s="17">
        <v>0</v>
      </c>
      <c r="D59" s="17">
        <v>1827</v>
      </c>
      <c r="E59" s="17">
        <v>1827</v>
      </c>
      <c r="F59" s="17">
        <v>1857</v>
      </c>
      <c r="G59" s="18">
        <f>IF(AND(F69&lt;&gt;0,1857&lt;&gt;0),IF(100*1857/(F69-0)&lt;0.005,"*",100*1857/(F69-0)),0)</f>
        <v>0.020733026941546932</v>
      </c>
    </row>
    <row r="60" spans="1:7" ht="12.75">
      <c r="A60" s="11" t="s">
        <v>142</v>
      </c>
      <c r="B60" s="17">
        <v>280232</v>
      </c>
      <c r="C60" s="17">
        <v>0</v>
      </c>
      <c r="D60" s="17">
        <v>285307</v>
      </c>
      <c r="E60" s="17">
        <v>285307</v>
      </c>
      <c r="F60" s="17">
        <v>290045</v>
      </c>
      <c r="G60" s="18">
        <f>IF(AND(F69&lt;&gt;0,290045&lt;&gt;0),IF(100*290045/(F69-0)&lt;0.005,"*",100*290045/(F69-0)),0)</f>
        <v>3.238293376015606</v>
      </c>
    </row>
    <row r="61" spans="1:7" ht="12.75">
      <c r="A61" s="11" t="s">
        <v>143</v>
      </c>
      <c r="B61" s="17">
        <v>1438</v>
      </c>
      <c r="C61" s="17">
        <v>0</v>
      </c>
      <c r="D61" s="17">
        <v>1464</v>
      </c>
      <c r="E61" s="17">
        <v>1464</v>
      </c>
      <c r="F61" s="17">
        <v>1488</v>
      </c>
      <c r="G61" s="18">
        <f>IF(AND(F69&lt;&gt;0,1488&lt;&gt;0),IF(100*1488/(F69-0)&lt;0.005,"*",100*1488/(F69-0)),0)</f>
        <v>0.01661321706463211</v>
      </c>
    </row>
    <row r="62" spans="1:7" ht="12.75">
      <c r="A62" s="11" t="s">
        <v>144</v>
      </c>
      <c r="B62" s="17">
        <v>9641</v>
      </c>
      <c r="C62" s="17">
        <v>0</v>
      </c>
      <c r="D62" s="17">
        <v>9816</v>
      </c>
      <c r="E62" s="17">
        <v>9816</v>
      </c>
      <c r="F62" s="17">
        <v>9979</v>
      </c>
      <c r="G62" s="18">
        <f>IF(AND(F69&lt;&gt;0,9979&lt;&gt;0),IF(100*9979/(F69-0)&lt;0.005,"*",100*9979/(F69-0)),0)</f>
        <v>0.11141350341933055</v>
      </c>
    </row>
    <row r="63" spans="1:7" ht="12.75">
      <c r="A63" s="11" t="s">
        <v>145</v>
      </c>
      <c r="B63" s="17">
        <v>222722</v>
      </c>
      <c r="C63" s="17">
        <v>0</v>
      </c>
      <c r="D63" s="17">
        <v>226756</v>
      </c>
      <c r="E63" s="17">
        <v>226756</v>
      </c>
      <c r="F63" s="17">
        <v>230521</v>
      </c>
      <c r="G63" s="18">
        <f>IF(AND(F69&lt;&gt;0,230521&lt;&gt;0),IF(100*230521/(F69-0)&lt;0.005,"*",100*230521/(F69-0)),0)</f>
        <v>2.573720034244664</v>
      </c>
    </row>
    <row r="64" spans="1:7" ht="12.75">
      <c r="A64" s="11" t="s">
        <v>146</v>
      </c>
      <c r="B64" s="17">
        <v>0</v>
      </c>
      <c r="C64" s="17">
        <v>0</v>
      </c>
      <c r="D64" s="17">
        <v>0</v>
      </c>
      <c r="E64" s="17">
        <v>0</v>
      </c>
      <c r="F64" s="17">
        <v>0</v>
      </c>
      <c r="G64" s="18">
        <v>0</v>
      </c>
    </row>
    <row r="65" spans="1:7" ht="12.75">
      <c r="A65" s="11" t="s">
        <v>186</v>
      </c>
      <c r="B65" s="17">
        <v>334469</v>
      </c>
      <c r="C65" s="17">
        <v>0</v>
      </c>
      <c r="D65" s="17">
        <v>339971</v>
      </c>
      <c r="E65" s="17">
        <v>339971</v>
      </c>
      <c r="F65" s="17">
        <v>345616</v>
      </c>
      <c r="G65" s="18">
        <f>IF(AND(F69&lt;&gt;0,345616&lt;&gt;0),IF(100*345616/(F69-0)&lt;0.005,"*",100*345616/(F69-0)),0)</f>
        <v>3.858732277560412</v>
      </c>
    </row>
    <row r="66" spans="1:7" ht="12.75">
      <c r="A66" s="11" t="s">
        <v>189</v>
      </c>
      <c r="B66" s="17">
        <v>203444</v>
      </c>
      <c r="C66" s="17">
        <v>0</v>
      </c>
      <c r="D66" s="17">
        <v>203539</v>
      </c>
      <c r="E66" s="17">
        <v>203539</v>
      </c>
      <c r="F66" s="17">
        <v>203539</v>
      </c>
      <c r="G66" s="18">
        <f>IF(AND(F69&lt;&gt;0,203539&lt;&gt;0),IF(100*203539/(F69-0)&lt;0.005,"*",100*203539/(F69-0)),0)</f>
        <v>2.272471497391234</v>
      </c>
    </row>
    <row r="67" spans="1:7" ht="15">
      <c r="A67" s="11" t="s">
        <v>190</v>
      </c>
      <c r="B67" s="17">
        <v>3658</v>
      </c>
      <c r="C67" s="17">
        <v>0</v>
      </c>
      <c r="D67" s="17">
        <v>319000</v>
      </c>
      <c r="E67" s="17" t="s">
        <v>418</v>
      </c>
      <c r="F67" s="17" t="s">
        <v>419</v>
      </c>
      <c r="G67" s="18">
        <f>IF(AND(F69&lt;&gt;0,611000&lt;&gt;0),IF(100*611000/(F69-0)&lt;0.005,"*",100*611000/(F69-0)),0)</f>
        <v>6.8216906092004175</v>
      </c>
    </row>
    <row r="68" spans="1:7" ht="15">
      <c r="A68" s="11" t="s">
        <v>423</v>
      </c>
      <c r="B68" s="17">
        <v>83403</v>
      </c>
      <c r="C68" s="17">
        <v>0</v>
      </c>
      <c r="D68" s="17">
        <v>83403</v>
      </c>
      <c r="E68" s="17">
        <v>83403</v>
      </c>
      <c r="F68" s="17">
        <v>83403</v>
      </c>
      <c r="G68" s="18">
        <f>IF(AND(F69&lt;&gt;0,83403&lt;&gt;0),IF(100*83403/(F69-0)&lt;0.005,"*",100*83403/(F69-0)),0)</f>
        <v>0.9311775153504785</v>
      </c>
    </row>
    <row r="69" spans="1:7" ht="15" customHeight="1">
      <c r="A69" s="19" t="s">
        <v>87</v>
      </c>
      <c r="B69" s="20">
        <f>125624+14697+121514+74054+982263+82284+63884+15193+27112+319675+202157+25924+26666+318351+114049+60498+60785+128205+166180+32126+91321+125291+271039+85634+188587+143116+24403+43263+28822+15764+147477+62175+502313+171236+20386+292935+98699+71786+271579+25486+102342+21968+137498+568315+46893+15297+115947+121849+59559+106516+13607+2318+2537+1794+280232+0+9641+222722+0+334469+0+1438+203444+3658+83403+0</f>
        <v>8098000</v>
      </c>
      <c r="C69" s="20">
        <f>0+0+0+0+0+0+0+0+0+0+0+0+0+0+0+0+0+0+0+0+0+0+0+0+0+0+0+0+0+0+0+0+0+0+0+0+0+0+0+0+0+0+0+0+0+0+0+0+0+0+0+0+0+0+0+0+0+0+0+0+0+0+0+0+0+0</f>
        <v>0</v>
      </c>
      <c r="D69" s="20">
        <f>127746+14963+123714+75395+997733+83774+62322+15468+27510+325464+205369+26393+27149+322829+115435+61594+61885+130527+167726+32708+92974+127560+275840+87127+189256+144265+24845+43802+29344+16049+150147+62916+510854+174337+20755+297669+100487+73086+275584+25948+103275+22366+139733+576982+47742+15574+116876+123036+60637+108445+13854+2360+2583+1827+285307+0+9816+226756+0+339971+0+1464+203539+319000+83403+0</f>
        <v>8533095</v>
      </c>
      <c r="E69" s="20">
        <f>SUM(C69:D69)</f>
        <v>8533095</v>
      </c>
      <c r="F69" s="20">
        <f>129867+15212+125768+76646+1014302+85165+63356+15724+27967+330868+208779+26831+27600+328190+117352+62616+62913+132695+170511+33251+94518+129678+280420+88574+192398+146660+25258+44530+29831+16316+152640+63961+519336+177231+21100+302612+102155+74299+280160+26379+104990+22737+142053+586564+48535+15833+118817+125079+61644+110246+14084+2399+2626+1857+290045+0+9979+230521+0+345616+0+1488+203539+611000+83403+0</f>
        <v>8956724</v>
      </c>
      <c r="G69" s="21" t="s">
        <v>343</v>
      </c>
    </row>
    <row r="70" spans="1:7" ht="15" customHeight="1">
      <c r="A70" s="33" t="s">
        <v>148</v>
      </c>
      <c r="B70" s="33"/>
      <c r="C70" s="33"/>
      <c r="D70" s="33"/>
      <c r="E70" s="33"/>
      <c r="F70" s="33"/>
      <c r="G70" s="33"/>
    </row>
    <row r="71" spans="1:7" ht="41.25" customHeight="1">
      <c r="A71" s="34" t="s">
        <v>420</v>
      </c>
      <c r="B71" s="34"/>
      <c r="C71" s="34"/>
      <c r="D71" s="34"/>
      <c r="E71" s="34"/>
      <c r="F71" s="34"/>
      <c r="G71" s="34"/>
    </row>
    <row r="72" spans="1:7" ht="26.25" customHeight="1">
      <c r="A72" s="35" t="s">
        <v>421</v>
      </c>
      <c r="B72" s="35"/>
      <c r="C72" s="35"/>
      <c r="D72" s="35"/>
      <c r="E72" s="35"/>
      <c r="F72" s="35"/>
      <c r="G72" s="35"/>
    </row>
    <row r="73" spans="1:7" ht="15" customHeight="1">
      <c r="A73" s="34" t="s">
        <v>422</v>
      </c>
      <c r="B73" s="34"/>
      <c r="C73" s="34"/>
      <c r="D73" s="34"/>
      <c r="E73" s="34"/>
      <c r="F73" s="34"/>
      <c r="G73" s="34"/>
    </row>
    <row r="74" spans="1:7" ht="15" customHeight="1">
      <c r="A74" s="26" t="s">
        <v>347</v>
      </c>
      <c r="B74" s="26"/>
      <c r="C74" s="26"/>
      <c r="D74" s="26"/>
      <c r="E74" s="26"/>
      <c r="F74" s="26"/>
      <c r="G74" s="26"/>
    </row>
  </sheetData>
  <sheetProtection/>
  <mergeCells count="9">
    <mergeCell ref="A73:G73"/>
    <mergeCell ref="A74:G74"/>
    <mergeCell ref="A4:A5"/>
    <mergeCell ref="B4:B5"/>
    <mergeCell ref="F4:F5"/>
    <mergeCell ref="G4:G5"/>
    <mergeCell ref="A70:G70"/>
    <mergeCell ref="A71:G71"/>
    <mergeCell ref="A72:G72"/>
  </mergeCells>
  <printOptions/>
  <pageMargins left="0.7" right="0.7" top="0.75" bottom="0.75" header="0.3" footer="0.3"/>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183</v>
      </c>
      <c r="B1" s="10"/>
      <c r="C1" s="10"/>
      <c r="D1" s="10"/>
      <c r="E1" s="10"/>
      <c r="F1" s="10"/>
      <c r="G1" s="12" t="s">
        <v>206</v>
      </c>
    </row>
    <row r="2" spans="1:7" ht="12.75">
      <c r="A2" s="13" t="s">
        <v>207</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29319</v>
      </c>
      <c r="C6" s="17">
        <v>0</v>
      </c>
      <c r="D6" s="17">
        <v>30061</v>
      </c>
      <c r="E6" s="17">
        <v>30061</v>
      </c>
      <c r="F6" s="17">
        <v>32519</v>
      </c>
      <c r="G6" s="18">
        <f>IF(AND(F67&lt;&gt;0,32519&lt;&gt;0),IF(100*32519/(F67-0)&lt;0.005,"*",100*32519/(F67-0)),0)</f>
        <v>0.6144006952841596</v>
      </c>
    </row>
    <row r="7" spans="1:7" ht="12.75">
      <c r="A7" s="11" t="s">
        <v>89</v>
      </c>
      <c r="B7" s="17">
        <v>21043</v>
      </c>
      <c r="C7" s="17">
        <v>0</v>
      </c>
      <c r="D7" s="17">
        <v>21576</v>
      </c>
      <c r="E7" s="17">
        <v>21576</v>
      </c>
      <c r="F7" s="17">
        <v>23340</v>
      </c>
      <c r="G7" s="18">
        <f>IF(AND(F67&lt;&gt;0,23340&lt;&gt;0),IF(100*23340/(F67-0)&lt;0.005,"*",100*23340/(F67-0)),0)</f>
        <v>0.4409764207980653</v>
      </c>
    </row>
    <row r="8" spans="1:7" ht="12.75">
      <c r="A8" s="11" t="s">
        <v>90</v>
      </c>
      <c r="B8" s="17">
        <v>145861</v>
      </c>
      <c r="C8" s="17">
        <v>0</v>
      </c>
      <c r="D8" s="17">
        <v>149551</v>
      </c>
      <c r="E8" s="17">
        <v>149551</v>
      </c>
      <c r="F8" s="17">
        <v>161780</v>
      </c>
      <c r="G8" s="18">
        <f>IF(AND(F67&lt;&gt;0,161780&lt;&gt;0),IF(100*161780/(F67-0)&lt;0.005,"*",100*161780/(F67-0)),0)</f>
        <v>3.056605199516324</v>
      </c>
    </row>
    <row r="9" spans="1:7" ht="12.75">
      <c r="A9" s="11" t="s">
        <v>91</v>
      </c>
      <c r="B9" s="17">
        <v>44851</v>
      </c>
      <c r="C9" s="17">
        <v>0</v>
      </c>
      <c r="D9" s="17">
        <v>45986</v>
      </c>
      <c r="E9" s="17">
        <v>45986</v>
      </c>
      <c r="F9" s="17">
        <v>49746</v>
      </c>
      <c r="G9" s="18">
        <f>IF(AND(F67&lt;&gt;0,49746&lt;&gt;0),IF(100*49746/(F67-0)&lt;0.005,"*",100*49746/(F67-0)),0)</f>
        <v>0.939880592503023</v>
      </c>
    </row>
    <row r="10" spans="1:7" ht="12.75">
      <c r="A10" s="11" t="s">
        <v>92</v>
      </c>
      <c r="B10" s="17">
        <v>1286852</v>
      </c>
      <c r="C10" s="17">
        <v>0</v>
      </c>
      <c r="D10" s="17">
        <v>1319404</v>
      </c>
      <c r="E10" s="17">
        <v>1319404</v>
      </c>
      <c r="F10" s="17">
        <v>1427291</v>
      </c>
      <c r="G10" s="18">
        <f>IF(AND(F67&lt;&gt;0,1427291&lt;&gt;0),IF(100*1427291/(F67-0)&lt;0.005,"*",100*1427291/(F67-0)),0)</f>
        <v>26.966652811366384</v>
      </c>
    </row>
    <row r="11" spans="1:7" ht="12.75">
      <c r="A11" s="11" t="s">
        <v>93</v>
      </c>
      <c r="B11" s="17">
        <v>63500</v>
      </c>
      <c r="C11" s="17">
        <v>0</v>
      </c>
      <c r="D11" s="17">
        <v>65106</v>
      </c>
      <c r="E11" s="17">
        <v>65106</v>
      </c>
      <c r="F11" s="17">
        <v>70430</v>
      </c>
      <c r="G11" s="18">
        <f>IF(AND(F67&lt;&gt;0,70430&lt;&gt;0),IF(100*70430/(F67-0)&lt;0.005,"*",100*70430/(F67-0)),0)</f>
        <v>1.3306756348246676</v>
      </c>
    </row>
    <row r="12" spans="1:7" ht="12.75">
      <c r="A12" s="11" t="s">
        <v>94</v>
      </c>
      <c r="B12" s="17">
        <v>74038</v>
      </c>
      <c r="C12" s="17">
        <v>0</v>
      </c>
      <c r="D12" s="17">
        <v>75911</v>
      </c>
      <c r="E12" s="17">
        <v>75911</v>
      </c>
      <c r="F12" s="17">
        <v>82118</v>
      </c>
      <c r="G12" s="18">
        <f>IF(AND(F67&lt;&gt;0,82118&lt;&gt;0),IF(100*82118/(F67-0)&lt;0.005,"*",100*82118/(F67-0)),0)</f>
        <v>1.551503929866989</v>
      </c>
    </row>
    <row r="13" spans="1:7" ht="12.75">
      <c r="A13" s="11" t="s">
        <v>95</v>
      </c>
      <c r="B13" s="17">
        <v>6244</v>
      </c>
      <c r="C13" s="17">
        <v>0</v>
      </c>
      <c r="D13" s="17">
        <v>6402</v>
      </c>
      <c r="E13" s="17">
        <v>6402</v>
      </c>
      <c r="F13" s="17">
        <v>6925</v>
      </c>
      <c r="G13" s="18">
        <f>IF(AND(F67&lt;&gt;0,6925&lt;&gt;0),IF(100*6925/(F67-0)&lt;0.005,"*",100*6925/(F67-0)),0)</f>
        <v>0.13083811970979445</v>
      </c>
    </row>
    <row r="14" spans="1:7" ht="12.75">
      <c r="A14" s="11" t="s">
        <v>96</v>
      </c>
      <c r="B14" s="17">
        <v>43702</v>
      </c>
      <c r="C14" s="17">
        <v>0</v>
      </c>
      <c r="D14" s="17">
        <v>44807</v>
      </c>
      <c r="E14" s="17">
        <v>44807</v>
      </c>
      <c r="F14" s="17">
        <v>48471</v>
      </c>
      <c r="G14" s="18">
        <f>IF(AND(F67&lt;&gt;0,48471&lt;&gt;0),IF(100*48471/(F67-0)&lt;0.005,"*",100*48471/(F67-0)),0)</f>
        <v>0.9157912636033857</v>
      </c>
    </row>
    <row r="15" spans="1:7" ht="12.75">
      <c r="A15" s="11" t="s">
        <v>97</v>
      </c>
      <c r="B15" s="17">
        <v>187321</v>
      </c>
      <c r="C15" s="17">
        <v>0</v>
      </c>
      <c r="D15" s="17">
        <v>192060</v>
      </c>
      <c r="E15" s="17">
        <v>192060</v>
      </c>
      <c r="F15" s="17">
        <v>207765</v>
      </c>
      <c r="G15" s="18">
        <f>IF(AND(F67&lt;&gt;0,207765&lt;&gt;0),IF(100*207765/(F67-0)&lt;0.005,"*",100*207765/(F67-0)),0)</f>
        <v>3.9254269951632406</v>
      </c>
    </row>
    <row r="16" spans="1:7" ht="12.75">
      <c r="A16" s="11" t="s">
        <v>98</v>
      </c>
      <c r="B16" s="17">
        <v>75456</v>
      </c>
      <c r="C16" s="17">
        <v>0</v>
      </c>
      <c r="D16" s="17">
        <v>77365</v>
      </c>
      <c r="E16" s="17">
        <v>77365</v>
      </c>
      <c r="F16" s="17">
        <v>83691</v>
      </c>
      <c r="G16" s="18">
        <f>IF(AND(F67&lt;&gt;0,83691&lt;&gt;0),IF(100*83691/(F67-0)&lt;0.005,"*",100*83691/(F67-0)),0)</f>
        <v>1.5812235489721886</v>
      </c>
    </row>
    <row r="17" spans="1:7" ht="12.75">
      <c r="A17" s="11" t="s">
        <v>99</v>
      </c>
      <c r="B17" s="17">
        <v>18014</v>
      </c>
      <c r="C17" s="17">
        <v>0</v>
      </c>
      <c r="D17" s="17">
        <v>18469</v>
      </c>
      <c r="E17" s="17">
        <v>18469</v>
      </c>
      <c r="F17" s="17">
        <v>19980</v>
      </c>
      <c r="G17" s="18">
        <f>IF(AND(F67&lt;&gt;0,19980&lt;&gt;0),IF(100*19980/(F67-0)&lt;0.005,"*",100*19980/(F67-0)),0)</f>
        <v>0.37749395405078595</v>
      </c>
    </row>
    <row r="18" spans="1:7" ht="12.75">
      <c r="A18" s="11" t="s">
        <v>100</v>
      </c>
      <c r="B18" s="17">
        <v>9531</v>
      </c>
      <c r="C18" s="17">
        <v>0</v>
      </c>
      <c r="D18" s="17">
        <v>9772</v>
      </c>
      <c r="E18" s="17">
        <v>9772</v>
      </c>
      <c r="F18" s="17">
        <v>10571</v>
      </c>
      <c r="G18" s="18">
        <f>IF(AND(F67&lt;&gt;0,10571&lt;&gt;0),IF(100*10571/(F67-0)&lt;0.005,"*",100*10571/(F67-0)),0)</f>
        <v>0.19972415356711004</v>
      </c>
    </row>
    <row r="19" spans="1:7" ht="12.75">
      <c r="A19" s="11" t="s">
        <v>101</v>
      </c>
      <c r="B19" s="17">
        <v>183465</v>
      </c>
      <c r="C19" s="17">
        <v>0</v>
      </c>
      <c r="D19" s="17">
        <v>188106</v>
      </c>
      <c r="E19" s="17">
        <v>188106</v>
      </c>
      <c r="F19" s="17">
        <v>203488</v>
      </c>
      <c r="G19" s="18">
        <f>IF(AND(F67&lt;&gt;0,203488&lt;&gt;0),IF(100*203488/(F67-0)&lt;0.005,"*",100*203488/(F67-0)),0)</f>
        <v>3.8446191051995164</v>
      </c>
    </row>
    <row r="20" spans="1:7" ht="12.75">
      <c r="A20" s="11" t="s">
        <v>102</v>
      </c>
      <c r="B20" s="17">
        <v>154663</v>
      </c>
      <c r="C20" s="17">
        <v>0</v>
      </c>
      <c r="D20" s="17">
        <v>158576</v>
      </c>
      <c r="E20" s="17">
        <v>158576</v>
      </c>
      <c r="F20" s="17">
        <v>171543</v>
      </c>
      <c r="G20" s="18">
        <f>IF(AND(F67&lt;&gt;0,171543&lt;&gt;0),IF(100*171543/(F67-0)&lt;0.005,"*",100*171543/(F67-0)),0)</f>
        <v>3.241063331318017</v>
      </c>
    </row>
    <row r="21" spans="1:7" ht="12.75">
      <c r="A21" s="11" t="s">
        <v>103</v>
      </c>
      <c r="B21" s="17">
        <v>18342</v>
      </c>
      <c r="C21" s="17">
        <v>0</v>
      </c>
      <c r="D21" s="17">
        <v>18806</v>
      </c>
      <c r="E21" s="17">
        <v>18806</v>
      </c>
      <c r="F21" s="17">
        <v>20343</v>
      </c>
      <c r="G21" s="18">
        <f>IF(AND(F67&lt;&gt;0,20343&lt;&gt;0),IF(100*20343/(F67-0)&lt;0.005,"*",100*20343/(F67-0)),0)</f>
        <v>0.3843523276904474</v>
      </c>
    </row>
    <row r="22" spans="1:7" ht="12.75">
      <c r="A22" s="11" t="s">
        <v>104</v>
      </c>
      <c r="B22" s="17">
        <v>19096</v>
      </c>
      <c r="C22" s="17">
        <v>0</v>
      </c>
      <c r="D22" s="17">
        <v>19579</v>
      </c>
      <c r="E22" s="17">
        <v>19579</v>
      </c>
      <c r="F22" s="17">
        <v>21180</v>
      </c>
      <c r="G22" s="18">
        <f>IF(AND(F67&lt;&gt;0,21180&lt;&gt;0),IF(100*21180/(F67-0)&lt;0.005,"*",100*21180/(F67-0)),0)</f>
        <v>0.40016626360338575</v>
      </c>
    </row>
    <row r="23" spans="1:7" ht="12.75">
      <c r="A23" s="11" t="s">
        <v>105</v>
      </c>
      <c r="B23" s="17">
        <v>46190</v>
      </c>
      <c r="C23" s="17">
        <v>0</v>
      </c>
      <c r="D23" s="17">
        <v>47359</v>
      </c>
      <c r="E23" s="17">
        <v>47359</v>
      </c>
      <c r="F23" s="17">
        <v>51231</v>
      </c>
      <c r="G23" s="18">
        <f>IF(AND(F67&lt;&gt;0,51231&lt;&gt;0),IF(100*51231/(F67-0)&lt;0.005,"*",100*51231/(F67-0)),0)</f>
        <v>0.9679375755743652</v>
      </c>
    </row>
    <row r="24" spans="1:7" ht="12.75">
      <c r="A24" s="11" t="s">
        <v>106</v>
      </c>
      <c r="B24" s="17">
        <v>34757</v>
      </c>
      <c r="C24" s="17">
        <v>0</v>
      </c>
      <c r="D24" s="17">
        <v>35636</v>
      </c>
      <c r="E24" s="17">
        <v>35636</v>
      </c>
      <c r="F24" s="17">
        <v>38550</v>
      </c>
      <c r="G24" s="18">
        <f>IF(AND(F67&lt;&gt;0,38550&lt;&gt;0),IF(100*38550/(F67-0)&lt;0.005,"*",100*38550/(F67-0)),0)</f>
        <v>0.7283479443772672</v>
      </c>
    </row>
    <row r="25" spans="1:7" ht="12.75">
      <c r="A25" s="11" t="s">
        <v>107</v>
      </c>
      <c r="B25" s="17">
        <v>15497</v>
      </c>
      <c r="C25" s="17">
        <v>0</v>
      </c>
      <c r="D25" s="17">
        <v>15889</v>
      </c>
      <c r="E25" s="17">
        <v>15889</v>
      </c>
      <c r="F25" s="17">
        <v>17188</v>
      </c>
      <c r="G25" s="18">
        <f>IF(AND(F67&lt;&gt;0,17188&lt;&gt;0),IF(100*17188/(F67-0)&lt;0.005,"*",100*17188/(F67-0)),0)</f>
        <v>0.32474304715840385</v>
      </c>
    </row>
    <row r="26" spans="1:7" ht="12.75">
      <c r="A26" s="11" t="s">
        <v>108</v>
      </c>
      <c r="B26" s="17">
        <v>56462</v>
      </c>
      <c r="C26" s="17">
        <v>0</v>
      </c>
      <c r="D26" s="17">
        <v>57890</v>
      </c>
      <c r="E26" s="17">
        <v>57890</v>
      </c>
      <c r="F26" s="17">
        <v>62624</v>
      </c>
      <c r="G26" s="18">
        <f>IF(AND(F67&lt;&gt;0,62624&lt;&gt;0),IF(100*62624/(F67-0)&lt;0.005,"*",100*62624/(F67-0)),0)</f>
        <v>1.183192261185006</v>
      </c>
    </row>
    <row r="27" spans="1:7" ht="12.75">
      <c r="A27" s="11" t="s">
        <v>109</v>
      </c>
      <c r="B27" s="17">
        <v>67334</v>
      </c>
      <c r="C27" s="17">
        <v>0</v>
      </c>
      <c r="D27" s="17">
        <v>69037</v>
      </c>
      <c r="E27" s="17">
        <v>69037</v>
      </c>
      <c r="F27" s="17">
        <v>74682</v>
      </c>
      <c r="G27" s="18">
        <f>IF(AND(F67&lt;&gt;0,74682&lt;&gt;0),IF(100*74682/(F67-0)&lt;0.005,"*",100*74682/(F67-0)),0)</f>
        <v>1.411011185006046</v>
      </c>
    </row>
    <row r="28" spans="1:7" ht="12.75">
      <c r="A28" s="11" t="s">
        <v>110</v>
      </c>
      <c r="B28" s="17">
        <v>136888</v>
      </c>
      <c r="C28" s="17">
        <v>0</v>
      </c>
      <c r="D28" s="17">
        <v>140351</v>
      </c>
      <c r="E28" s="17">
        <v>140351</v>
      </c>
      <c r="F28" s="17">
        <v>151828</v>
      </c>
      <c r="G28" s="18">
        <f>IF(AND(F67&lt;&gt;0,151828&lt;&gt;0),IF(100*151828/(F67-0)&lt;0.005,"*",100*151828/(F67-0)),0)</f>
        <v>2.8685761789600965</v>
      </c>
    </row>
    <row r="29" spans="1:7" ht="12.75">
      <c r="A29" s="11" t="s">
        <v>111</v>
      </c>
      <c r="B29" s="17">
        <v>46930</v>
      </c>
      <c r="C29" s="17">
        <v>0</v>
      </c>
      <c r="D29" s="17">
        <v>48117</v>
      </c>
      <c r="E29" s="17">
        <v>48117</v>
      </c>
      <c r="F29" s="17">
        <v>52052</v>
      </c>
      <c r="G29" s="18">
        <f>IF(AND(F67&lt;&gt;0,52052&lt;&gt;0),IF(100*52052/(F67-0)&lt;0.005,"*",100*52052/(F67-0)),0)</f>
        <v>0.9834492140266021</v>
      </c>
    </row>
    <row r="30" spans="1:7" ht="12.75">
      <c r="A30" s="11" t="s">
        <v>112</v>
      </c>
      <c r="B30" s="17">
        <v>22160</v>
      </c>
      <c r="C30" s="17">
        <v>0</v>
      </c>
      <c r="D30" s="17">
        <v>22721</v>
      </c>
      <c r="E30" s="17">
        <v>22721</v>
      </c>
      <c r="F30" s="17">
        <v>24579</v>
      </c>
      <c r="G30" s="18">
        <f>IF(AND(F67&lt;&gt;0,24579&lt;&gt;0),IF(100*24579/(F67-0)&lt;0.005,"*",100*24579/(F67-0)),0)</f>
        <v>0.46438558041112454</v>
      </c>
    </row>
    <row r="31" spans="1:7" ht="12.75">
      <c r="A31" s="11" t="s">
        <v>113</v>
      </c>
      <c r="B31" s="17">
        <v>62993</v>
      </c>
      <c r="C31" s="17">
        <v>0</v>
      </c>
      <c r="D31" s="17">
        <v>64587</v>
      </c>
      <c r="E31" s="17">
        <v>64587</v>
      </c>
      <c r="F31" s="17">
        <v>69868</v>
      </c>
      <c r="G31" s="18">
        <f>IF(AND(F67&lt;&gt;0,69868&lt;&gt;0),IF(100*69868/(F67-0)&lt;0.005,"*",100*69868/(F67-0)),0)</f>
        <v>1.3200574365175333</v>
      </c>
    </row>
    <row r="32" spans="1:7" ht="12.75">
      <c r="A32" s="11" t="s">
        <v>114</v>
      </c>
      <c r="B32" s="17">
        <v>12774</v>
      </c>
      <c r="C32" s="17">
        <v>0</v>
      </c>
      <c r="D32" s="17">
        <v>13097</v>
      </c>
      <c r="E32" s="17">
        <v>13097</v>
      </c>
      <c r="F32" s="17">
        <v>14168</v>
      </c>
      <c r="G32" s="18">
        <f>IF(AND(F67&lt;&gt;0,14168&lt;&gt;0),IF(100*14168/(F67-0)&lt;0.005,"*",100*14168/(F67-0)),0)</f>
        <v>0.2676844014510278</v>
      </c>
    </row>
    <row r="33" spans="1:7" ht="12.75">
      <c r="A33" s="11" t="s">
        <v>115</v>
      </c>
      <c r="B33" s="17">
        <v>15713</v>
      </c>
      <c r="C33" s="17">
        <v>0</v>
      </c>
      <c r="D33" s="17">
        <v>16111</v>
      </c>
      <c r="E33" s="17">
        <v>16111</v>
      </c>
      <c r="F33" s="17">
        <v>17428</v>
      </c>
      <c r="G33" s="18">
        <f>IF(AND(F67&lt;&gt;0,17428&lt;&gt;0),IF(100*17428/(F67-0)&lt;0.005,"*",100*17428/(F67-0)),0)</f>
        <v>0.32927750906892383</v>
      </c>
    </row>
    <row r="34" spans="1:7" ht="12.75">
      <c r="A34" s="11" t="s">
        <v>116</v>
      </c>
      <c r="B34" s="17">
        <v>35261</v>
      </c>
      <c r="C34" s="17">
        <v>0</v>
      </c>
      <c r="D34" s="17">
        <v>36153</v>
      </c>
      <c r="E34" s="17">
        <v>36153</v>
      </c>
      <c r="F34" s="17">
        <v>39110</v>
      </c>
      <c r="G34" s="18">
        <f>IF(AND(F67&lt;&gt;0,39110&lt;&gt;0),IF(100*39110/(F67-0)&lt;0.005,"*",100*39110/(F67-0)),0)</f>
        <v>0.7389283555018138</v>
      </c>
    </row>
    <row r="35" spans="1:7" ht="12.75">
      <c r="A35" s="11" t="s">
        <v>117</v>
      </c>
      <c r="B35" s="17">
        <v>12438</v>
      </c>
      <c r="C35" s="17">
        <v>0</v>
      </c>
      <c r="D35" s="17">
        <v>12752</v>
      </c>
      <c r="E35" s="17">
        <v>12752</v>
      </c>
      <c r="F35" s="17">
        <v>13795</v>
      </c>
      <c r="G35" s="18">
        <f>IF(AND(F67&lt;&gt;0,13795&lt;&gt;0),IF(100*13795/(F67-0)&lt;0.005,"*",100*13795/(F67-0)),0)</f>
        <v>0.26063709189842804</v>
      </c>
    </row>
    <row r="36" spans="1:7" ht="12.75">
      <c r="A36" s="11" t="s">
        <v>118</v>
      </c>
      <c r="B36" s="17">
        <v>98449</v>
      </c>
      <c r="C36" s="17">
        <v>0</v>
      </c>
      <c r="D36" s="17">
        <v>100940</v>
      </c>
      <c r="E36" s="17">
        <v>100940</v>
      </c>
      <c r="F36" s="17">
        <v>109194</v>
      </c>
      <c r="G36" s="18">
        <f>IF(AND(F67&lt;&gt;0,109194&lt;&gt;0),IF(100*109194/(F67-0)&lt;0.005,"*",100*109194/(F67-0)),0)</f>
        <v>2.063066807738815</v>
      </c>
    </row>
    <row r="37" spans="1:7" ht="12.75">
      <c r="A37" s="11" t="s">
        <v>119</v>
      </c>
      <c r="B37" s="17">
        <v>20392</v>
      </c>
      <c r="C37" s="17">
        <v>0</v>
      </c>
      <c r="D37" s="17">
        <v>20908</v>
      </c>
      <c r="E37" s="17">
        <v>20908</v>
      </c>
      <c r="F37" s="17">
        <v>22618</v>
      </c>
      <c r="G37" s="18">
        <f>IF(AND(F67&lt;&gt;0,22618&lt;&gt;0),IF(100*22618/(F67-0)&lt;0.005,"*",100*22618/(F67-0)),0)</f>
        <v>0.4273352478839178</v>
      </c>
    </row>
    <row r="38" spans="1:7" ht="12.75">
      <c r="A38" s="11" t="s">
        <v>120</v>
      </c>
      <c r="B38" s="17">
        <v>404848</v>
      </c>
      <c r="C38" s="17">
        <v>0</v>
      </c>
      <c r="D38" s="17">
        <v>415090</v>
      </c>
      <c r="E38" s="17">
        <v>415090</v>
      </c>
      <c r="F38" s="17">
        <v>449032</v>
      </c>
      <c r="G38" s="18">
        <f>IF(AND(F67&lt;&gt;0,449032&lt;&gt;0),IF(100*449032/(F67-0)&lt;0.005,"*",100*449032/(F67-0)),0)</f>
        <v>8.483827085852479</v>
      </c>
    </row>
    <row r="39" spans="1:7" ht="12.75">
      <c r="A39" s="11" t="s">
        <v>121</v>
      </c>
      <c r="B39" s="17">
        <v>70451</v>
      </c>
      <c r="C39" s="17">
        <v>0</v>
      </c>
      <c r="D39" s="17">
        <v>72233</v>
      </c>
      <c r="E39" s="17">
        <v>72233</v>
      </c>
      <c r="F39" s="17">
        <v>78140</v>
      </c>
      <c r="G39" s="18">
        <f>IF(AND(F67&lt;&gt;0,78140&lt;&gt;0),IF(100*78140/(F67-0)&lt;0.005,"*",100*78140/(F67-0)),0)</f>
        <v>1.476345223700121</v>
      </c>
    </row>
    <row r="40" spans="1:7" ht="12.75">
      <c r="A40" s="11" t="s">
        <v>122</v>
      </c>
      <c r="B40" s="17">
        <v>12878</v>
      </c>
      <c r="C40" s="17">
        <v>0</v>
      </c>
      <c r="D40" s="17">
        <v>13204</v>
      </c>
      <c r="E40" s="17">
        <v>13204</v>
      </c>
      <c r="F40" s="17">
        <v>14284</v>
      </c>
      <c r="G40" s="18">
        <f>IF(AND(F67&lt;&gt;0,14284&lt;&gt;0),IF(100*14284/(F67-0)&lt;0.005,"*",100*14284/(F67-0)),0)</f>
        <v>0.2698760580411125</v>
      </c>
    </row>
    <row r="41" spans="1:7" ht="12.75">
      <c r="A41" s="11" t="s">
        <v>123</v>
      </c>
      <c r="B41" s="17">
        <v>204805</v>
      </c>
      <c r="C41" s="17">
        <v>0</v>
      </c>
      <c r="D41" s="17">
        <v>209986</v>
      </c>
      <c r="E41" s="17">
        <v>209986</v>
      </c>
      <c r="F41" s="17">
        <v>227157</v>
      </c>
      <c r="G41" s="18">
        <f>IF(AND(F67&lt;&gt;0,227157&lt;&gt;0),IF(100*227157/(F67-0)&lt;0.005,"*",100*227157/(F67-0)),0)</f>
        <v>4.291811517533253</v>
      </c>
    </row>
    <row r="42" spans="1:7" ht="12.75">
      <c r="A42" s="11" t="s">
        <v>124</v>
      </c>
      <c r="B42" s="17">
        <v>60564</v>
      </c>
      <c r="C42" s="17">
        <v>0</v>
      </c>
      <c r="D42" s="17">
        <v>62096</v>
      </c>
      <c r="E42" s="17">
        <v>62096</v>
      </c>
      <c r="F42" s="17">
        <v>67173</v>
      </c>
      <c r="G42" s="18">
        <f>IF(AND(F67&lt;&gt;0,67173&lt;&gt;0),IF(100*67173/(F67-0)&lt;0.005,"*",100*67173/(F67-0)),0)</f>
        <v>1.269139207980653</v>
      </c>
    </row>
    <row r="43" spans="1:7" ht="12.75">
      <c r="A43" s="11" t="s">
        <v>125</v>
      </c>
      <c r="B43" s="17">
        <v>79407</v>
      </c>
      <c r="C43" s="17">
        <v>0</v>
      </c>
      <c r="D43" s="17">
        <v>81416</v>
      </c>
      <c r="E43" s="17">
        <v>81416</v>
      </c>
      <c r="F43" s="17">
        <v>88073</v>
      </c>
      <c r="G43" s="18">
        <f>IF(AND(F67&lt;&gt;0,88073&lt;&gt;0),IF(100*88073/(F67-0)&lt;0.005,"*",100*88073/(F67-0)),0)</f>
        <v>1.6640152660217655</v>
      </c>
    </row>
    <row r="44" spans="1:7" ht="12.75">
      <c r="A44" s="11" t="s">
        <v>126</v>
      </c>
      <c r="B44" s="17">
        <v>159967</v>
      </c>
      <c r="C44" s="17">
        <v>0</v>
      </c>
      <c r="D44" s="17">
        <v>164014</v>
      </c>
      <c r="E44" s="17">
        <v>164014</v>
      </c>
      <c r="F44" s="17">
        <v>177426</v>
      </c>
      <c r="G44" s="18">
        <f>IF(AND(F67&lt;&gt;0,177426&lt;&gt;0),IF(100*177426/(F67-0)&lt;0.005,"*",100*177426/(F67-0)),0)</f>
        <v>3.3522143288996373</v>
      </c>
    </row>
    <row r="45" spans="1:7" ht="12.75">
      <c r="A45" s="11" t="s">
        <v>127</v>
      </c>
      <c r="B45" s="17">
        <v>12871</v>
      </c>
      <c r="C45" s="17">
        <v>0</v>
      </c>
      <c r="D45" s="17">
        <v>13196</v>
      </c>
      <c r="E45" s="17">
        <v>13196</v>
      </c>
      <c r="F45" s="17">
        <v>14275</v>
      </c>
      <c r="G45" s="18">
        <f>IF(AND(F67&lt;&gt;0,14275&lt;&gt;0),IF(100*14275/(F67-0)&lt;0.005,"*",100*14275/(F67-0)),0)</f>
        <v>0.26970601571946795</v>
      </c>
    </row>
    <row r="46" spans="1:7" ht="12.75">
      <c r="A46" s="11" t="s">
        <v>128</v>
      </c>
      <c r="B46" s="17">
        <v>35312</v>
      </c>
      <c r="C46" s="17">
        <v>0</v>
      </c>
      <c r="D46" s="17">
        <v>36206</v>
      </c>
      <c r="E46" s="17">
        <v>36206</v>
      </c>
      <c r="F46" s="17">
        <v>39166</v>
      </c>
      <c r="G46" s="18">
        <f>IF(AND(F67&lt;&gt;0,39166&lt;&gt;0),IF(100*39166/(F67-0)&lt;0.005,"*",100*39166/(F67-0)),0)</f>
        <v>0.7399863966142685</v>
      </c>
    </row>
    <row r="47" spans="1:7" ht="12.75">
      <c r="A47" s="11" t="s">
        <v>129</v>
      </c>
      <c r="B47" s="17">
        <v>6333</v>
      </c>
      <c r="C47" s="17">
        <v>0</v>
      </c>
      <c r="D47" s="17">
        <v>6493</v>
      </c>
      <c r="E47" s="17">
        <v>6493</v>
      </c>
      <c r="F47" s="17">
        <v>7024</v>
      </c>
      <c r="G47" s="18">
        <f>IF(AND(F67&lt;&gt;0,7024&lt;&gt;0),IF(100*7024/(F67-0)&lt;0.005,"*",100*7024/(F67-0)),0)</f>
        <v>0.13270858524788393</v>
      </c>
    </row>
    <row r="48" spans="1:7" ht="12.75">
      <c r="A48" s="11" t="s">
        <v>130</v>
      </c>
      <c r="B48" s="17">
        <v>49481</v>
      </c>
      <c r="C48" s="17">
        <v>0</v>
      </c>
      <c r="D48" s="17">
        <v>50733</v>
      </c>
      <c r="E48" s="17">
        <v>50733</v>
      </c>
      <c r="F48" s="17">
        <v>54881</v>
      </c>
      <c r="G48" s="18">
        <f>IF(AND(F67&lt;&gt;0,54881&lt;&gt;0),IF(100*54881/(F67-0)&lt;0.005,"*",100*54881/(F67-0)),0)</f>
        <v>1.0368991837968562</v>
      </c>
    </row>
    <row r="49" spans="1:7" ht="12.75">
      <c r="A49" s="11" t="s">
        <v>131</v>
      </c>
      <c r="B49" s="17">
        <v>210415</v>
      </c>
      <c r="C49" s="17">
        <v>0</v>
      </c>
      <c r="D49" s="17">
        <v>215738</v>
      </c>
      <c r="E49" s="17">
        <v>215738</v>
      </c>
      <c r="F49" s="17">
        <v>233380</v>
      </c>
      <c r="G49" s="18">
        <f>IF(AND(F67&lt;&gt;0,233380&lt;&gt;0),IF(100*233380/(F67-0)&lt;0.005,"*",100*233380/(F67-0)),0)</f>
        <v>4.4093863361547765</v>
      </c>
    </row>
    <row r="50" spans="1:7" ht="12.75">
      <c r="A50" s="11" t="s">
        <v>132</v>
      </c>
      <c r="B50" s="17">
        <v>26018</v>
      </c>
      <c r="C50" s="17">
        <v>0</v>
      </c>
      <c r="D50" s="17">
        <v>26676</v>
      </c>
      <c r="E50" s="17">
        <v>26676</v>
      </c>
      <c r="F50" s="17">
        <v>28858</v>
      </c>
      <c r="G50" s="18">
        <f>IF(AND(F67&lt;&gt;0,28858&lt;&gt;0),IF(100*28858/(F67-0)&lt;0.005,"*",100*28858/(F67-0)),0)</f>
        <v>0.5452312575574365</v>
      </c>
    </row>
    <row r="51" spans="1:7" ht="12.75">
      <c r="A51" s="11" t="s">
        <v>133</v>
      </c>
      <c r="B51" s="17">
        <v>10072</v>
      </c>
      <c r="C51" s="17">
        <v>0</v>
      </c>
      <c r="D51" s="17">
        <v>10327</v>
      </c>
      <c r="E51" s="17">
        <v>10327</v>
      </c>
      <c r="F51" s="17">
        <v>11172</v>
      </c>
      <c r="G51" s="18">
        <f>IF(AND(F67&lt;&gt;0,11172&lt;&gt;0),IF(100*11172/(F67-0)&lt;0.005,"*",100*11172/(F67-0)),0)</f>
        <v>0.21107920193470375</v>
      </c>
    </row>
    <row r="52" spans="1:7" ht="12.75">
      <c r="A52" s="11" t="s">
        <v>134</v>
      </c>
      <c r="B52" s="17">
        <v>53157</v>
      </c>
      <c r="C52" s="17">
        <v>0</v>
      </c>
      <c r="D52" s="17">
        <v>54502</v>
      </c>
      <c r="E52" s="17">
        <v>54502</v>
      </c>
      <c r="F52" s="17">
        <v>58959</v>
      </c>
      <c r="G52" s="18">
        <f>IF(AND(F67&lt;&gt;0,58959&lt;&gt;0),IF(100*58959/(F67-0)&lt;0.005,"*",100*58959/(F67-0)),0)</f>
        <v>1.1139472490931077</v>
      </c>
    </row>
    <row r="53" spans="1:7" ht="12.75">
      <c r="A53" s="11" t="s">
        <v>135</v>
      </c>
      <c r="B53" s="17">
        <v>71629</v>
      </c>
      <c r="C53" s="17">
        <v>0</v>
      </c>
      <c r="D53" s="17">
        <v>73441</v>
      </c>
      <c r="E53" s="17">
        <v>73441</v>
      </c>
      <c r="F53" s="17">
        <v>79446</v>
      </c>
      <c r="G53" s="18">
        <f>IF(AND(F67&lt;&gt;0,79446&lt;&gt;0),IF(100*79446/(F67-0)&lt;0.005,"*",100*79446/(F67-0)),0)</f>
        <v>1.501020253929867</v>
      </c>
    </row>
    <row r="54" spans="1:7" ht="12.75">
      <c r="A54" s="11" t="s">
        <v>136</v>
      </c>
      <c r="B54" s="17">
        <v>36948</v>
      </c>
      <c r="C54" s="17">
        <v>0</v>
      </c>
      <c r="D54" s="17">
        <v>37883</v>
      </c>
      <c r="E54" s="17">
        <v>37883</v>
      </c>
      <c r="F54" s="17">
        <v>40981</v>
      </c>
      <c r="G54" s="18">
        <f>IF(AND(F67&lt;&gt;0,40981&lt;&gt;0),IF(100*40981/(F67-0)&lt;0.005,"*",100*40981/(F67-0)),0)</f>
        <v>0.7742782648125756</v>
      </c>
    </row>
    <row r="55" spans="1:7" ht="12.75">
      <c r="A55" s="11" t="s">
        <v>137</v>
      </c>
      <c r="B55" s="17">
        <v>61500</v>
      </c>
      <c r="C55" s="17">
        <v>0</v>
      </c>
      <c r="D55" s="17">
        <v>63056</v>
      </c>
      <c r="E55" s="17">
        <v>63056</v>
      </c>
      <c r="F55" s="17">
        <v>68212</v>
      </c>
      <c r="G55" s="18">
        <f>IF(AND(F67&lt;&gt;0,68212&lt;&gt;0),IF(100*68212/(F67-0)&lt;0.005,"*",100*68212/(F67-0)),0)</f>
        <v>1.2887696493349456</v>
      </c>
    </row>
    <row r="56" spans="1:7" ht="12.75">
      <c r="A56" s="11" t="s">
        <v>138</v>
      </c>
      <c r="B56" s="17">
        <v>3541</v>
      </c>
      <c r="C56" s="17">
        <v>0</v>
      </c>
      <c r="D56" s="17">
        <v>3631</v>
      </c>
      <c r="E56" s="17">
        <v>3631</v>
      </c>
      <c r="F56" s="17">
        <v>3928</v>
      </c>
      <c r="G56" s="18">
        <f>IF(AND(F67&lt;&gt;0,3928&lt;&gt;0),IF(100*3928/(F67-0)&lt;0.005,"*",100*3928/(F67-0)),0)</f>
        <v>0.07421402660217655</v>
      </c>
    </row>
    <row r="57" spans="1:7" ht="12.75">
      <c r="A57" s="11" t="s">
        <v>139</v>
      </c>
      <c r="B57" s="17">
        <v>0</v>
      </c>
      <c r="C57" s="17">
        <v>0</v>
      </c>
      <c r="D57" s="17">
        <v>0</v>
      </c>
      <c r="E57" s="17">
        <v>0</v>
      </c>
      <c r="F57" s="17">
        <v>0</v>
      </c>
      <c r="G57" s="18">
        <f>IF(AND(F67&lt;&gt;0,0&lt;&gt;0),IF(100*0/(F67-0)&lt;0.005,"*",100*0/(F67-0)),0)</f>
        <v>0</v>
      </c>
    </row>
    <row r="58" spans="1:7" ht="12.75">
      <c r="A58" s="11" t="s">
        <v>140</v>
      </c>
      <c r="B58" s="17">
        <v>0</v>
      </c>
      <c r="C58" s="17">
        <v>0</v>
      </c>
      <c r="D58" s="17">
        <v>0</v>
      </c>
      <c r="E58" s="17">
        <v>0</v>
      </c>
      <c r="F58" s="17">
        <v>0</v>
      </c>
      <c r="G58" s="18">
        <f>IF(AND(F67&lt;&gt;0,0&lt;&gt;0),IF(100*0/(F67-0)&lt;0.005,"*",100*0/(F67-0)),0)</f>
        <v>0</v>
      </c>
    </row>
    <row r="59" spans="1:7" ht="12.75">
      <c r="A59" s="11" t="s">
        <v>141</v>
      </c>
      <c r="B59" s="17">
        <v>0</v>
      </c>
      <c r="C59" s="17">
        <v>0</v>
      </c>
      <c r="D59" s="17">
        <v>0</v>
      </c>
      <c r="E59" s="17">
        <v>0</v>
      </c>
      <c r="F59" s="17">
        <v>0</v>
      </c>
      <c r="G59" s="18">
        <f>IF(AND(F67&lt;&gt;0,0&lt;&gt;0),IF(100*0/(F67-0)&lt;0.005,"*",100*0/(F67-0)),0)</f>
        <v>0</v>
      </c>
    </row>
    <row r="60" spans="1:7" ht="12.75">
      <c r="A60" s="11" t="s">
        <v>142</v>
      </c>
      <c r="B60" s="17">
        <v>3163</v>
      </c>
      <c r="C60" s="17">
        <v>0</v>
      </c>
      <c r="D60" s="17">
        <v>3243</v>
      </c>
      <c r="E60" s="17">
        <v>3243</v>
      </c>
      <c r="F60" s="17">
        <v>3508</v>
      </c>
      <c r="G60" s="18">
        <f>IF(AND(F67&lt;&gt;0,3508&lt;&gt;0),IF(100*3508/(F67-0)&lt;0.005,"*",100*3508/(F67-0)),0)</f>
        <v>0.06627871825876662</v>
      </c>
    </row>
    <row r="61" spans="1:7" ht="12.75">
      <c r="A61" s="11" t="s">
        <v>143</v>
      </c>
      <c r="B61" s="17">
        <v>0</v>
      </c>
      <c r="C61" s="17">
        <v>0</v>
      </c>
      <c r="D61" s="17">
        <v>0</v>
      </c>
      <c r="E61" s="17">
        <v>0</v>
      </c>
      <c r="F61" s="17">
        <v>0</v>
      </c>
      <c r="G61" s="18">
        <f>IF(AND(F67&lt;&gt;0,0&lt;&gt;0),IF(100*0/(F67-0)&lt;0.005,"*",100*0/(F67-0)),0)</f>
        <v>0</v>
      </c>
    </row>
    <row r="62" spans="1:7" ht="12.75">
      <c r="A62" s="11" t="s">
        <v>144</v>
      </c>
      <c r="B62" s="17">
        <v>0</v>
      </c>
      <c r="C62" s="17">
        <v>0</v>
      </c>
      <c r="D62" s="17">
        <v>0</v>
      </c>
      <c r="E62" s="17">
        <v>0</v>
      </c>
      <c r="F62" s="17">
        <v>0</v>
      </c>
      <c r="G62" s="18">
        <f>IF(AND(F67&lt;&gt;0,0&lt;&gt;0),IF(100*0/(F67-0)&lt;0.005,"*",100*0/(F67-0)),0)</f>
        <v>0</v>
      </c>
    </row>
    <row r="63" spans="1:7" ht="12.75">
      <c r="A63" s="11" t="s">
        <v>145</v>
      </c>
      <c r="B63" s="17">
        <v>1642</v>
      </c>
      <c r="C63" s="17">
        <v>0</v>
      </c>
      <c r="D63" s="17">
        <v>7200</v>
      </c>
      <c r="E63" s="17">
        <v>7200</v>
      </c>
      <c r="F63" s="17">
        <v>62400</v>
      </c>
      <c r="G63" s="18">
        <f>IF(AND(F67&lt;&gt;0,62400&lt;&gt;0),IF(100*62400/(F67-0)&lt;0.005,"*",100*62400/(F67-0)),0)</f>
        <v>1.1789600967351874</v>
      </c>
    </row>
    <row r="64" spans="1:7" ht="12.75">
      <c r="A64" s="11" t="s">
        <v>146</v>
      </c>
      <c r="B64" s="17">
        <v>0</v>
      </c>
      <c r="C64" s="17">
        <v>0</v>
      </c>
      <c r="D64" s="17">
        <v>0</v>
      </c>
      <c r="E64" s="17">
        <v>0</v>
      </c>
      <c r="F64" s="17">
        <v>0</v>
      </c>
      <c r="G64" s="18">
        <v>0</v>
      </c>
    </row>
    <row r="65" spans="1:7" ht="12.75">
      <c r="A65" s="11" t="s">
        <v>189</v>
      </c>
      <c r="B65" s="17">
        <v>28733</v>
      </c>
      <c r="C65" s="17">
        <v>0</v>
      </c>
      <c r="D65" s="17">
        <v>36124</v>
      </c>
      <c r="E65" s="17">
        <v>36124</v>
      </c>
      <c r="F65" s="17">
        <v>35229</v>
      </c>
      <c r="G65" s="18">
        <f>IF(AND(F67&lt;&gt;0,35229&lt;&gt;0),IF(100*35229/(F67-0)&lt;0.005,"*",100*35229/(F67-0)),0)</f>
        <v>0.6656023276904474</v>
      </c>
    </row>
    <row r="66" spans="1:7" ht="15">
      <c r="A66" s="11" t="s">
        <v>164</v>
      </c>
      <c r="B66" s="17">
        <v>0</v>
      </c>
      <c r="C66" s="17">
        <v>0</v>
      </c>
      <c r="D66" s="17">
        <v>0</v>
      </c>
      <c r="E66" s="17">
        <v>0</v>
      </c>
      <c r="F66" s="17" t="s">
        <v>425</v>
      </c>
      <c r="G66" s="18">
        <f>IF(AND(F67&lt;&gt;0,50000&lt;&gt;0),IF(100*50000/(F67-0)&lt;0.005,"*",100*50000/(F67-0)),0)</f>
        <v>0.9446795646916566</v>
      </c>
    </row>
    <row r="67" spans="1:7" ht="15" customHeight="1">
      <c r="A67" s="19" t="s">
        <v>87</v>
      </c>
      <c r="B67" s="20">
        <f>29319+21043+145861+44851+1286852+63500+74038+6244+43702+187321+75456+18014+9531+183465+154663+18342+19096+46190+34757+15497+56462+67334+136888+46930+22160+62993+12774+15713+35261+12438+98449+20392+404848+70451+12878+204805+60564+79407+159967+12871+35312+6333+49481+210415+26018+10072+53157+71629+36948+61500+3541+0+0+0+3163+0+0+1642+0+0+0+0+28733+0+0+0</f>
        <v>4669271</v>
      </c>
      <c r="C67" s="20">
        <f>0+0+0+0+0+0+0+0+0+0+0+0+0+0+0+0+0+0+0+0+0+0+0+0+0+0+0+0+0+0+0+0+0+0+0+0+0+0+0+0+0+0+0+0+0+0+0+0+0+0+0+0+0+0+0+0+0+0+0+0+0+0+0+0+0+0</f>
        <v>0</v>
      </c>
      <c r="D67" s="20">
        <f>30061+21576+149551+45986+1319404+65106+75911+6402+44807+192060+77365+18469+9772+188106+158576+18806+19579+47359+35636+15889+57890+69037+140351+48117+22721+64587+13097+16111+36153+12752+100940+20908+415090+72233+13204+209986+62096+81416+164014+13196+36206+6493+50733+215738+26676+10327+54502+73441+37883+63056+3631+0+0+0+3243+0+0+7200+0+0+0+0+36124+0+0+0</f>
        <v>4799573</v>
      </c>
      <c r="E67" s="20">
        <f>SUM(C67:D67)</f>
        <v>4799573</v>
      </c>
      <c r="F67" s="20">
        <f>32519+23340+161780+49746+1427291+70430+82118+6925+48471+207765+83691+19980+10571+203488+171543+20343+21180+51231+38550+17188+62624+74682+151828+52052+24579+69868+14168+17428+39110+13795+109194+22618+449032+78140+14284+227157+67173+88073+177426+14275+39166+7024+54881+233380+28858+11172+58959+79446+40981+68212+3928+0+0+0+3508+0+0+62400+0+0+0+0+35229+0+50000+0</f>
        <v>5292800</v>
      </c>
      <c r="G67" s="21" t="s">
        <v>147</v>
      </c>
    </row>
    <row r="68" spans="1:7" ht="15" customHeight="1">
      <c r="A68" s="33" t="s">
        <v>148</v>
      </c>
      <c r="B68" s="33"/>
      <c r="C68" s="33"/>
      <c r="D68" s="33"/>
      <c r="E68" s="33"/>
      <c r="F68" s="33"/>
      <c r="G68" s="33"/>
    </row>
    <row r="69" spans="1:7" ht="39" customHeight="1">
      <c r="A69" s="36" t="s">
        <v>427</v>
      </c>
      <c r="B69" s="36"/>
      <c r="C69" s="36"/>
      <c r="D69" s="36"/>
      <c r="E69" s="36"/>
      <c r="F69" s="36"/>
      <c r="G69" s="36"/>
    </row>
    <row r="70" spans="1:7" ht="31.5" customHeight="1">
      <c r="A70" s="34" t="s">
        <v>424</v>
      </c>
      <c r="B70" s="34"/>
      <c r="C70" s="34"/>
      <c r="D70" s="34"/>
      <c r="E70" s="34"/>
      <c r="F70" s="34"/>
      <c r="G70" s="34"/>
    </row>
    <row r="71" spans="1:7" ht="15" customHeight="1">
      <c r="A71" s="26" t="s">
        <v>149</v>
      </c>
      <c r="B71" s="26"/>
      <c r="C71" s="26"/>
      <c r="D71" s="26"/>
      <c r="E71" s="26"/>
      <c r="F71" s="26"/>
      <c r="G71" s="26"/>
    </row>
  </sheetData>
  <sheetProtection/>
  <mergeCells count="8">
    <mergeCell ref="A70:G70"/>
    <mergeCell ref="A71:G71"/>
    <mergeCell ref="A4:A5"/>
    <mergeCell ref="B4:B5"/>
    <mergeCell ref="F4:F5"/>
    <mergeCell ref="G4:G5"/>
    <mergeCell ref="A68:G68"/>
    <mergeCell ref="A69:G69"/>
  </mergeCells>
  <printOptions/>
  <pageMargins left="0.7" right="0.7" top="0.75" bottom="0.75" header="0.3" footer="0.3"/>
  <pageSetup fitToHeight="1" fitToWidth="1"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183</v>
      </c>
      <c r="B1" s="10"/>
      <c r="C1" s="10"/>
      <c r="D1" s="10"/>
      <c r="E1" s="10"/>
      <c r="F1" s="10"/>
      <c r="G1" s="12" t="s">
        <v>206</v>
      </c>
    </row>
    <row r="2" spans="1:7" ht="12.75">
      <c r="A2" s="13" t="s">
        <v>208</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10271</v>
      </c>
      <c r="C6" s="17">
        <v>0</v>
      </c>
      <c r="D6" s="17">
        <v>11108</v>
      </c>
      <c r="E6" s="17">
        <v>11108</v>
      </c>
      <c r="F6" s="17">
        <v>11549</v>
      </c>
      <c r="G6" s="18">
        <f>IF(AND(F65&lt;&gt;0,11549&lt;&gt;0),IF(100*11549/(F65-0)&lt;0.005,"*",100*11549/(F65-0)),0)</f>
        <v>0.415431654676259</v>
      </c>
    </row>
    <row r="7" spans="1:7" ht="12.75">
      <c r="A7" s="11" t="s">
        <v>89</v>
      </c>
      <c r="B7" s="17">
        <v>13661</v>
      </c>
      <c r="C7" s="17">
        <v>0</v>
      </c>
      <c r="D7" s="17">
        <v>14774</v>
      </c>
      <c r="E7" s="17">
        <v>14774</v>
      </c>
      <c r="F7" s="17">
        <v>15359</v>
      </c>
      <c r="G7" s="18">
        <f>IF(AND(F65&lt;&gt;0,15359&lt;&gt;0),IF(100*15359/(F65-0)&lt;0.005,"*",100*15359/(F65-0)),0)</f>
        <v>0.5524820143884892</v>
      </c>
    </row>
    <row r="8" spans="1:7" ht="12.75">
      <c r="A8" s="11" t="s">
        <v>90</v>
      </c>
      <c r="B8" s="17">
        <v>116552</v>
      </c>
      <c r="C8" s="17">
        <v>0</v>
      </c>
      <c r="D8" s="17">
        <v>126047</v>
      </c>
      <c r="E8" s="17">
        <v>126047</v>
      </c>
      <c r="F8" s="17">
        <v>131044</v>
      </c>
      <c r="G8" s="18">
        <f>IF(AND(F65&lt;&gt;0,131044&lt;&gt;0),IF(100*131044/(F65-0)&lt;0.005,"*",100*131044/(F65-0)),0)</f>
        <v>4.713812949640288</v>
      </c>
    </row>
    <row r="9" spans="1:7" ht="12.75">
      <c r="A9" s="11" t="s">
        <v>91</v>
      </c>
      <c r="B9" s="17">
        <v>19552</v>
      </c>
      <c r="C9" s="17">
        <v>0</v>
      </c>
      <c r="D9" s="17">
        <v>21145</v>
      </c>
      <c r="E9" s="17">
        <v>21145</v>
      </c>
      <c r="F9" s="17">
        <v>21984</v>
      </c>
      <c r="G9" s="18">
        <f>IF(AND(F65&lt;&gt;0,21984&lt;&gt;0),IF(100*21984/(F65-0)&lt;0.005,"*",100*21984/(F65-0)),0)</f>
        <v>0.7907913669064748</v>
      </c>
    </row>
    <row r="10" spans="1:7" ht="12.75">
      <c r="A10" s="11" t="s">
        <v>92</v>
      </c>
      <c r="B10" s="17">
        <v>474949</v>
      </c>
      <c r="C10" s="17">
        <v>0</v>
      </c>
      <c r="D10" s="17">
        <v>513644</v>
      </c>
      <c r="E10" s="17">
        <v>513644</v>
      </c>
      <c r="F10" s="17">
        <v>534005</v>
      </c>
      <c r="G10" s="18">
        <f>IF(AND(F65&lt;&gt;0,534005&lt;&gt;0),IF(100*534005/(F65-0)&lt;0.005,"*",100*534005/(F65-0)),0)</f>
        <v>19.208812949640286</v>
      </c>
    </row>
    <row r="11" spans="1:7" ht="12.75">
      <c r="A11" s="11" t="s">
        <v>93</v>
      </c>
      <c r="B11" s="17">
        <v>17579</v>
      </c>
      <c r="C11" s="17">
        <v>0</v>
      </c>
      <c r="D11" s="17">
        <v>19012</v>
      </c>
      <c r="E11" s="17">
        <v>19012</v>
      </c>
      <c r="F11" s="17">
        <v>19765</v>
      </c>
      <c r="G11" s="18">
        <f>IF(AND(F65&lt;&gt;0,19765&lt;&gt;0),IF(100*19765/(F65-0)&lt;0.005,"*",100*19765/(F65-0)),0)</f>
        <v>0.7109712230215828</v>
      </c>
    </row>
    <row r="12" spans="1:7" ht="12.75">
      <c r="A12" s="11" t="s">
        <v>94</v>
      </c>
      <c r="B12" s="17">
        <v>41686</v>
      </c>
      <c r="C12" s="17">
        <v>0</v>
      </c>
      <c r="D12" s="17">
        <v>45082</v>
      </c>
      <c r="E12" s="17">
        <v>45082</v>
      </c>
      <c r="F12" s="17">
        <v>46869</v>
      </c>
      <c r="G12" s="18">
        <f>IF(AND(F65&lt;&gt;0,46869&lt;&gt;0),IF(100*46869/(F65-0)&lt;0.005,"*",100*46869/(F65-0)),0)</f>
        <v>1.685935251798561</v>
      </c>
    </row>
    <row r="13" spans="1:7" ht="12.75">
      <c r="A13" s="11" t="s">
        <v>95</v>
      </c>
      <c r="B13" s="17">
        <v>1696</v>
      </c>
      <c r="C13" s="17">
        <v>0</v>
      </c>
      <c r="D13" s="17">
        <v>1834</v>
      </c>
      <c r="E13" s="17">
        <v>1834</v>
      </c>
      <c r="F13" s="17">
        <v>1907</v>
      </c>
      <c r="G13" s="18">
        <f>IF(AND(F65&lt;&gt;0,1907&lt;&gt;0),IF(100*1907/(F65-0)&lt;0.005,"*",100*1907/(F65-0)),0)</f>
        <v>0.06859712230215827</v>
      </c>
    </row>
    <row r="14" spans="1:7" ht="12.75">
      <c r="A14" s="11" t="s">
        <v>96</v>
      </c>
      <c r="B14" s="17">
        <v>10965</v>
      </c>
      <c r="C14" s="17">
        <v>0</v>
      </c>
      <c r="D14" s="17">
        <v>11858</v>
      </c>
      <c r="E14" s="17">
        <v>11858</v>
      </c>
      <c r="F14" s="17">
        <v>12329</v>
      </c>
      <c r="G14" s="18">
        <f>IF(AND(F65&lt;&gt;0,12329&lt;&gt;0),IF(100*12329/(F65-0)&lt;0.005,"*",100*12329/(F65-0)),0)</f>
        <v>0.44348920863309355</v>
      </c>
    </row>
    <row r="15" spans="1:7" ht="12.75">
      <c r="A15" s="11" t="s">
        <v>97</v>
      </c>
      <c r="B15" s="17">
        <v>115829</v>
      </c>
      <c r="C15" s="17">
        <v>0</v>
      </c>
      <c r="D15" s="17">
        <v>125265</v>
      </c>
      <c r="E15" s="17">
        <v>125265</v>
      </c>
      <c r="F15" s="17">
        <v>130231</v>
      </c>
      <c r="G15" s="18">
        <f>IF(AND(F65&lt;&gt;0,130231&lt;&gt;0),IF(100*130231/(F65-0)&lt;0.005,"*",100*130231/(F65-0)),0)</f>
        <v>4.684568345323741</v>
      </c>
    </row>
    <row r="16" spans="1:7" ht="12.75">
      <c r="A16" s="11" t="s">
        <v>98</v>
      </c>
      <c r="B16" s="17">
        <v>37479</v>
      </c>
      <c r="C16" s="17">
        <v>0</v>
      </c>
      <c r="D16" s="17">
        <v>40532</v>
      </c>
      <c r="E16" s="17">
        <v>40532</v>
      </c>
      <c r="F16" s="17">
        <v>42139</v>
      </c>
      <c r="G16" s="18">
        <f>IF(AND(F65&lt;&gt;0,42139&lt;&gt;0),IF(100*42139/(F65-0)&lt;0.005,"*",100*42139/(F65-0)),0)</f>
        <v>1.5157913669064749</v>
      </c>
    </row>
    <row r="17" spans="1:7" ht="12.75">
      <c r="A17" s="11" t="s">
        <v>99</v>
      </c>
      <c r="B17" s="17">
        <v>15648</v>
      </c>
      <c r="C17" s="17">
        <v>0</v>
      </c>
      <c r="D17" s="17">
        <v>16923</v>
      </c>
      <c r="E17" s="17">
        <v>16923</v>
      </c>
      <c r="F17" s="17">
        <v>17594</v>
      </c>
      <c r="G17" s="18">
        <f>IF(AND(F65&lt;&gt;0,17594&lt;&gt;0),IF(100*17594/(F65-0)&lt;0.005,"*",100*17594/(F65-0)),0)</f>
        <v>0.6328776978417266</v>
      </c>
    </row>
    <row r="18" spans="1:7" ht="12.75">
      <c r="A18" s="11" t="s">
        <v>100</v>
      </c>
      <c r="B18" s="17">
        <v>7268</v>
      </c>
      <c r="C18" s="17">
        <v>0</v>
      </c>
      <c r="D18" s="17">
        <v>7860</v>
      </c>
      <c r="E18" s="17">
        <v>7860</v>
      </c>
      <c r="F18" s="17">
        <v>8172</v>
      </c>
      <c r="G18" s="18">
        <f>IF(AND(F65&lt;&gt;0,8172&lt;&gt;0),IF(100*8172/(F65-0)&lt;0.005,"*",100*8172/(F65-0)),0)</f>
        <v>0.2939568345323741</v>
      </c>
    </row>
    <row r="19" spans="1:7" ht="12.75">
      <c r="A19" s="11" t="s">
        <v>101</v>
      </c>
      <c r="B19" s="17">
        <v>83305</v>
      </c>
      <c r="C19" s="17">
        <v>0</v>
      </c>
      <c r="D19" s="17">
        <v>90092</v>
      </c>
      <c r="E19" s="17">
        <v>90092</v>
      </c>
      <c r="F19" s="17">
        <v>93663</v>
      </c>
      <c r="G19" s="18">
        <f>IF(AND(F65&lt;&gt;0,93663&lt;&gt;0),IF(100*93663/(F65-0)&lt;0.005,"*",100*93663/(F65-0)),0)</f>
        <v>3.3691726618705036</v>
      </c>
    </row>
    <row r="20" spans="1:7" ht="12.75">
      <c r="A20" s="11" t="s">
        <v>102</v>
      </c>
      <c r="B20" s="17">
        <v>67659</v>
      </c>
      <c r="C20" s="17">
        <v>0</v>
      </c>
      <c r="D20" s="17">
        <v>73171</v>
      </c>
      <c r="E20" s="17">
        <v>73171</v>
      </c>
      <c r="F20" s="17">
        <v>76072</v>
      </c>
      <c r="G20" s="18">
        <f>IF(AND(F65&lt;&gt;0,76072&lt;&gt;0),IF(100*76072/(F65-0)&lt;0.005,"*",100*76072/(F65-0)),0)</f>
        <v>2.7364028776978415</v>
      </c>
    </row>
    <row r="21" spans="1:7" ht="12.75">
      <c r="A21" s="11" t="s">
        <v>103</v>
      </c>
      <c r="B21" s="17">
        <v>35850</v>
      </c>
      <c r="C21" s="17">
        <v>0</v>
      </c>
      <c r="D21" s="17">
        <v>38771</v>
      </c>
      <c r="E21" s="17">
        <v>38771</v>
      </c>
      <c r="F21" s="17">
        <v>40308</v>
      </c>
      <c r="G21" s="18">
        <f>IF(AND(F65&lt;&gt;0,40308&lt;&gt;0),IF(100*40308/(F65-0)&lt;0.005,"*",100*40308/(F65-0)),0)</f>
        <v>1.4499280575539568</v>
      </c>
    </row>
    <row r="22" spans="1:7" ht="12.75">
      <c r="A22" s="11" t="s">
        <v>104</v>
      </c>
      <c r="B22" s="17">
        <v>16783</v>
      </c>
      <c r="C22" s="17">
        <v>0</v>
      </c>
      <c r="D22" s="17">
        <v>18150</v>
      </c>
      <c r="E22" s="17">
        <v>18150</v>
      </c>
      <c r="F22" s="17">
        <v>18869</v>
      </c>
      <c r="G22" s="18">
        <f>IF(AND(F65&lt;&gt;0,18869&lt;&gt;0),IF(100*18869/(F65-0)&lt;0.005,"*",100*18869/(F65-0)),0)</f>
        <v>0.6787410071942446</v>
      </c>
    </row>
    <row r="23" spans="1:7" ht="12.75">
      <c r="A23" s="11" t="s">
        <v>105</v>
      </c>
      <c r="B23" s="17">
        <v>47944</v>
      </c>
      <c r="C23" s="17">
        <v>0</v>
      </c>
      <c r="D23" s="17">
        <v>51850</v>
      </c>
      <c r="E23" s="17">
        <v>51850</v>
      </c>
      <c r="F23" s="17">
        <v>53906</v>
      </c>
      <c r="G23" s="18">
        <f>IF(AND(F65&lt;&gt;0,53906&lt;&gt;0),IF(100*53906/(F65-0)&lt;0.005,"*",100*53906/(F65-0)),0)</f>
        <v>1.939064748201439</v>
      </c>
    </row>
    <row r="24" spans="1:7" ht="12.75">
      <c r="A24" s="11" t="s">
        <v>106</v>
      </c>
      <c r="B24" s="17">
        <v>16728</v>
      </c>
      <c r="C24" s="17">
        <v>0</v>
      </c>
      <c r="D24" s="17">
        <v>18091</v>
      </c>
      <c r="E24" s="17">
        <v>18091</v>
      </c>
      <c r="F24" s="17">
        <v>18808</v>
      </c>
      <c r="G24" s="18">
        <f>IF(AND(F65&lt;&gt;0,18808&lt;&gt;0),IF(100*18808/(F65-0)&lt;0.005,"*",100*18808/(F65-0)),0)</f>
        <v>0.6765467625899281</v>
      </c>
    </row>
    <row r="25" spans="1:7" ht="12.75">
      <c r="A25" s="11" t="s">
        <v>107</v>
      </c>
      <c r="B25" s="17">
        <v>14832</v>
      </c>
      <c r="C25" s="17">
        <v>0</v>
      </c>
      <c r="D25" s="17">
        <v>16041</v>
      </c>
      <c r="E25" s="17">
        <v>16041</v>
      </c>
      <c r="F25" s="17">
        <v>16677</v>
      </c>
      <c r="G25" s="18">
        <f>IF(AND(F65&lt;&gt;0,16677&lt;&gt;0),IF(100*16677/(F65-0)&lt;0.005,"*",100*16677/(F65-0)),0)</f>
        <v>0.5998920863309353</v>
      </c>
    </row>
    <row r="26" spans="1:7" ht="12.75">
      <c r="A26" s="11" t="s">
        <v>108</v>
      </c>
      <c r="B26" s="17">
        <v>23175</v>
      </c>
      <c r="C26" s="17">
        <v>0</v>
      </c>
      <c r="D26" s="17">
        <v>25063</v>
      </c>
      <c r="E26" s="17">
        <v>25063</v>
      </c>
      <c r="F26" s="17">
        <v>26057</v>
      </c>
      <c r="G26" s="18">
        <f>IF(AND(F65&lt;&gt;0,26057&lt;&gt;0),IF(100*26057/(F65-0)&lt;0.005,"*",100*26057/(F65-0)),0)</f>
        <v>0.9373021582733813</v>
      </c>
    </row>
    <row r="27" spans="1:7" ht="12.75">
      <c r="A27" s="11" t="s">
        <v>109</v>
      </c>
      <c r="B27" s="17">
        <v>30639</v>
      </c>
      <c r="C27" s="17">
        <v>0</v>
      </c>
      <c r="D27" s="17">
        <v>33136</v>
      </c>
      <c r="E27" s="17">
        <v>33136</v>
      </c>
      <c r="F27" s="17">
        <v>34449</v>
      </c>
      <c r="G27" s="18">
        <f>IF(AND(F65&lt;&gt;0,34449&lt;&gt;0),IF(100*34449/(F65-0)&lt;0.005,"*",100*34449/(F65-0)),0)</f>
        <v>1.2391726618705037</v>
      </c>
    </row>
    <row r="28" spans="1:7" ht="12.75">
      <c r="A28" s="11" t="s">
        <v>110</v>
      </c>
      <c r="B28" s="17">
        <v>124821</v>
      </c>
      <c r="C28" s="17">
        <v>0</v>
      </c>
      <c r="D28" s="17">
        <v>134990</v>
      </c>
      <c r="E28" s="17">
        <v>134990</v>
      </c>
      <c r="F28" s="17">
        <v>140341</v>
      </c>
      <c r="G28" s="18">
        <f>IF(AND(F65&lt;&gt;0,140341&lt;&gt;0),IF(100*140341/(F65-0)&lt;0.005,"*",100*140341/(F65-0)),0)</f>
        <v>5.048237410071942</v>
      </c>
    </row>
    <row r="29" spans="1:7" ht="12.75">
      <c r="A29" s="11" t="s">
        <v>111</v>
      </c>
      <c r="B29" s="17">
        <v>24852</v>
      </c>
      <c r="C29" s="17">
        <v>0</v>
      </c>
      <c r="D29" s="17">
        <v>26877</v>
      </c>
      <c r="E29" s="17">
        <v>26877</v>
      </c>
      <c r="F29" s="17">
        <v>27943</v>
      </c>
      <c r="G29" s="18">
        <f>IF(AND(F65&lt;&gt;0,27943&lt;&gt;0),IF(100*27943/(F65-0)&lt;0.005,"*",100*27943/(F65-0)),0)</f>
        <v>1.0051438848920864</v>
      </c>
    </row>
    <row r="30" spans="1:7" ht="12.75">
      <c r="A30" s="11" t="s">
        <v>112</v>
      </c>
      <c r="B30" s="17">
        <v>10253</v>
      </c>
      <c r="C30" s="17">
        <v>0</v>
      </c>
      <c r="D30" s="17">
        <v>11088</v>
      </c>
      <c r="E30" s="17">
        <v>11088</v>
      </c>
      <c r="F30" s="17">
        <v>11528</v>
      </c>
      <c r="G30" s="18">
        <f>IF(AND(F65&lt;&gt;0,11528&lt;&gt;0),IF(100*11528/(F65-0)&lt;0.005,"*",100*11528/(F65-0)),0)</f>
        <v>0.41467625899280575</v>
      </c>
    </row>
    <row r="31" spans="1:7" ht="12.75">
      <c r="A31" s="11" t="s">
        <v>113</v>
      </c>
      <c r="B31" s="17">
        <v>34262</v>
      </c>
      <c r="C31" s="17">
        <v>0</v>
      </c>
      <c r="D31" s="17">
        <v>37053</v>
      </c>
      <c r="E31" s="17">
        <v>37053</v>
      </c>
      <c r="F31" s="17">
        <v>38522</v>
      </c>
      <c r="G31" s="18">
        <f>IF(AND(F65&lt;&gt;0,38522&lt;&gt;0),IF(100*38522/(F65-0)&lt;0.005,"*",100*38522/(F65-0)),0)</f>
        <v>1.38568345323741</v>
      </c>
    </row>
    <row r="32" spans="1:7" ht="12.75">
      <c r="A32" s="11" t="s">
        <v>114</v>
      </c>
      <c r="B32" s="17">
        <v>7743</v>
      </c>
      <c r="C32" s="17">
        <v>0</v>
      </c>
      <c r="D32" s="17">
        <v>8374</v>
      </c>
      <c r="E32" s="17">
        <v>8374</v>
      </c>
      <c r="F32" s="17">
        <v>8706</v>
      </c>
      <c r="G32" s="18">
        <f>IF(AND(F65&lt;&gt;0,8706&lt;&gt;0),IF(100*8706/(F65-0)&lt;0.005,"*",100*8706/(F65-0)),0)</f>
        <v>0.3131654676258993</v>
      </c>
    </row>
    <row r="33" spans="1:7" ht="12.75">
      <c r="A33" s="11" t="s">
        <v>115</v>
      </c>
      <c r="B33" s="17">
        <v>13824</v>
      </c>
      <c r="C33" s="17">
        <v>0</v>
      </c>
      <c r="D33" s="17">
        <v>14950</v>
      </c>
      <c r="E33" s="17">
        <v>14950</v>
      </c>
      <c r="F33" s="17">
        <v>15543</v>
      </c>
      <c r="G33" s="18">
        <f>IF(AND(F65&lt;&gt;0,15543&lt;&gt;0),IF(100*15543/(F65-0)&lt;0.005,"*",100*15543/(F65-0)),0)</f>
        <v>0.5591007194244604</v>
      </c>
    </row>
    <row r="34" spans="1:7" ht="12.75">
      <c r="A34" s="11" t="s">
        <v>116</v>
      </c>
      <c r="B34" s="17">
        <v>27324</v>
      </c>
      <c r="C34" s="17">
        <v>0</v>
      </c>
      <c r="D34" s="17">
        <v>29551</v>
      </c>
      <c r="E34" s="17">
        <v>29551</v>
      </c>
      <c r="F34" s="17">
        <v>30722</v>
      </c>
      <c r="G34" s="18">
        <f>IF(AND(F65&lt;&gt;0,30722&lt;&gt;0),IF(100*30722/(F65-0)&lt;0.005,"*",100*30722/(F65-0)),0)</f>
        <v>1.1051079136690647</v>
      </c>
    </row>
    <row r="35" spans="1:7" ht="12.75">
      <c r="A35" s="11" t="s">
        <v>117</v>
      </c>
      <c r="B35" s="17">
        <v>3385</v>
      </c>
      <c r="C35" s="17">
        <v>0</v>
      </c>
      <c r="D35" s="17">
        <v>3661</v>
      </c>
      <c r="E35" s="17">
        <v>3661</v>
      </c>
      <c r="F35" s="17">
        <v>3806</v>
      </c>
      <c r="G35" s="18">
        <f>IF(AND(F65&lt;&gt;0,3806&lt;&gt;0),IF(100*3806/(F65-0)&lt;0.005,"*",100*3806/(F65-0)),0)</f>
        <v>0.1369064748201439</v>
      </c>
    </row>
    <row r="36" spans="1:7" ht="12.75">
      <c r="A36" s="11" t="s">
        <v>118</v>
      </c>
      <c r="B36" s="17">
        <v>64559</v>
      </c>
      <c r="C36" s="17">
        <v>0</v>
      </c>
      <c r="D36" s="17">
        <v>69819</v>
      </c>
      <c r="E36" s="17">
        <v>69819</v>
      </c>
      <c r="F36" s="17">
        <v>72586</v>
      </c>
      <c r="G36" s="18">
        <f>IF(AND(F65&lt;&gt;0,72586&lt;&gt;0),IF(100*72586/(F65-0)&lt;0.005,"*",100*72586/(F65-0)),0)</f>
        <v>2.6110071942446043</v>
      </c>
    </row>
    <row r="37" spans="1:7" ht="12.75">
      <c r="A37" s="11" t="s">
        <v>119</v>
      </c>
      <c r="B37" s="17">
        <v>20086</v>
      </c>
      <c r="C37" s="17">
        <v>0</v>
      </c>
      <c r="D37" s="17">
        <v>21722</v>
      </c>
      <c r="E37" s="17">
        <v>21722</v>
      </c>
      <c r="F37" s="17">
        <v>22583</v>
      </c>
      <c r="G37" s="18">
        <f>IF(AND(F65&lt;&gt;0,22583&lt;&gt;0),IF(100*22583/(F65-0)&lt;0.005,"*",100*22583/(F65-0)),0)</f>
        <v>0.8123381294964028</v>
      </c>
    </row>
    <row r="38" spans="1:7" ht="12.75">
      <c r="A38" s="11" t="s">
        <v>120</v>
      </c>
      <c r="B38" s="17">
        <v>154794</v>
      </c>
      <c r="C38" s="17">
        <v>0</v>
      </c>
      <c r="D38" s="17">
        <v>167406</v>
      </c>
      <c r="E38" s="17">
        <v>167406</v>
      </c>
      <c r="F38" s="17">
        <v>174042</v>
      </c>
      <c r="G38" s="18">
        <f>IF(AND(F65&lt;&gt;0,174042&lt;&gt;0),IF(100*174042/(F65-0)&lt;0.005,"*",100*174042/(F65-0)),0)</f>
        <v>6.260503597122302</v>
      </c>
    </row>
    <row r="39" spans="1:7" ht="12.75">
      <c r="A39" s="11" t="s">
        <v>121</v>
      </c>
      <c r="B39" s="17">
        <v>53971</v>
      </c>
      <c r="C39" s="17">
        <v>0</v>
      </c>
      <c r="D39" s="17">
        <v>58368</v>
      </c>
      <c r="E39" s="17">
        <v>58368</v>
      </c>
      <c r="F39" s="17">
        <v>60682</v>
      </c>
      <c r="G39" s="18">
        <f>IF(AND(F65&lt;&gt;0,60682&lt;&gt;0),IF(100*60682/(F65-0)&lt;0.005,"*",100*60682/(F65-0)),0)</f>
        <v>2.1828057553956834</v>
      </c>
    </row>
    <row r="40" spans="1:7" ht="12.75">
      <c r="A40" s="11" t="s">
        <v>122</v>
      </c>
      <c r="B40" s="17">
        <v>5458</v>
      </c>
      <c r="C40" s="17">
        <v>0</v>
      </c>
      <c r="D40" s="17">
        <v>5903</v>
      </c>
      <c r="E40" s="17">
        <v>5903</v>
      </c>
      <c r="F40" s="17">
        <v>6136</v>
      </c>
      <c r="G40" s="18">
        <f>IF(AND(F65&lt;&gt;0,6136&lt;&gt;0),IF(100*6136/(F65-0)&lt;0.005,"*",100*6136/(F65-0)),0)</f>
        <v>0.22071942446043166</v>
      </c>
    </row>
    <row r="41" spans="1:7" ht="12.75">
      <c r="A41" s="11" t="s">
        <v>123</v>
      </c>
      <c r="B41" s="17">
        <v>154814</v>
      </c>
      <c r="C41" s="17">
        <v>0</v>
      </c>
      <c r="D41" s="17">
        <v>167427</v>
      </c>
      <c r="E41" s="17">
        <v>167427</v>
      </c>
      <c r="F41" s="17">
        <v>174063</v>
      </c>
      <c r="G41" s="18">
        <f>IF(AND(F65&lt;&gt;0,174063&lt;&gt;0),IF(100*174063/(F65-0)&lt;0.005,"*",100*174063/(F65-0)),0)</f>
        <v>6.261258992805756</v>
      </c>
    </row>
    <row r="42" spans="1:7" ht="12.75">
      <c r="A42" s="11" t="s">
        <v>124</v>
      </c>
      <c r="B42" s="17">
        <v>41215</v>
      </c>
      <c r="C42" s="17">
        <v>0</v>
      </c>
      <c r="D42" s="17">
        <v>44572</v>
      </c>
      <c r="E42" s="17">
        <v>44572</v>
      </c>
      <c r="F42" s="17">
        <v>46339</v>
      </c>
      <c r="G42" s="18">
        <f>IF(AND(F65&lt;&gt;0,46339&lt;&gt;0),IF(100*46339/(F65-0)&lt;0.005,"*",100*46339/(F65-0)),0)</f>
        <v>1.6668705035971223</v>
      </c>
    </row>
    <row r="43" spans="1:7" ht="12.75">
      <c r="A43" s="11" t="s">
        <v>125</v>
      </c>
      <c r="B43" s="17">
        <v>44292</v>
      </c>
      <c r="C43" s="17">
        <v>0</v>
      </c>
      <c r="D43" s="17">
        <v>47901</v>
      </c>
      <c r="E43" s="17">
        <v>47901</v>
      </c>
      <c r="F43" s="17">
        <v>49800</v>
      </c>
      <c r="G43" s="18">
        <f>IF(AND(F65&lt;&gt;0,49800&lt;&gt;0),IF(100*49800/(F65-0)&lt;0.005,"*",100*49800/(F65-0)),0)</f>
        <v>1.79136690647482</v>
      </c>
    </row>
    <row r="44" spans="1:7" ht="12.75">
      <c r="A44" s="11" t="s">
        <v>126</v>
      </c>
      <c r="B44" s="17">
        <v>87667</v>
      </c>
      <c r="C44" s="17">
        <v>0</v>
      </c>
      <c r="D44" s="17">
        <v>94810</v>
      </c>
      <c r="E44" s="17">
        <v>94810</v>
      </c>
      <c r="F44" s="17">
        <v>98568</v>
      </c>
      <c r="G44" s="18">
        <f>IF(AND(F65&lt;&gt;0,98568&lt;&gt;0),IF(100*98568/(F65-0)&lt;0.005,"*",100*98568/(F65-0)),0)</f>
        <v>3.545611510791367</v>
      </c>
    </row>
    <row r="45" spans="1:7" ht="12.75">
      <c r="A45" s="11" t="s">
        <v>127</v>
      </c>
      <c r="B45" s="17">
        <v>7403</v>
      </c>
      <c r="C45" s="17">
        <v>0</v>
      </c>
      <c r="D45" s="17">
        <v>8006</v>
      </c>
      <c r="E45" s="17">
        <v>8006</v>
      </c>
      <c r="F45" s="17">
        <v>8323</v>
      </c>
      <c r="G45" s="18">
        <f>IF(AND(F65&lt;&gt;0,8323&lt;&gt;0),IF(100*8323/(F65-0)&lt;0.005,"*",100*8323/(F65-0)),0)</f>
        <v>0.2993884892086331</v>
      </c>
    </row>
    <row r="46" spans="1:7" ht="12.75">
      <c r="A46" s="11" t="s">
        <v>128</v>
      </c>
      <c r="B46" s="17">
        <v>18221</v>
      </c>
      <c r="C46" s="17">
        <v>0</v>
      </c>
      <c r="D46" s="17">
        <v>19705</v>
      </c>
      <c r="E46" s="17">
        <v>19705</v>
      </c>
      <c r="F46" s="17">
        <v>20486</v>
      </c>
      <c r="G46" s="18">
        <f>IF(AND(F65&lt;&gt;0,20486&lt;&gt;0),IF(100*20486/(F65-0)&lt;0.005,"*",100*20486/(F65-0)),0)</f>
        <v>0.7369064748201439</v>
      </c>
    </row>
    <row r="47" spans="1:7" ht="12.75">
      <c r="A47" s="11" t="s">
        <v>129</v>
      </c>
      <c r="B47" s="17">
        <v>3926</v>
      </c>
      <c r="C47" s="17">
        <v>0</v>
      </c>
      <c r="D47" s="17">
        <v>4246</v>
      </c>
      <c r="E47" s="17">
        <v>4246</v>
      </c>
      <c r="F47" s="17">
        <v>4414</v>
      </c>
      <c r="G47" s="18">
        <f>IF(AND(F65&lt;&gt;0,4414&lt;&gt;0),IF(100*4414/(F65-0)&lt;0.005,"*",100*4414/(F65-0)),0)</f>
        <v>0.15877697841726618</v>
      </c>
    </row>
    <row r="48" spans="1:7" ht="12.75">
      <c r="A48" s="11" t="s">
        <v>130</v>
      </c>
      <c r="B48" s="17">
        <v>44921</v>
      </c>
      <c r="C48" s="17">
        <v>0</v>
      </c>
      <c r="D48" s="17">
        <v>48581</v>
      </c>
      <c r="E48" s="17">
        <v>48581</v>
      </c>
      <c r="F48" s="17">
        <v>50506</v>
      </c>
      <c r="G48" s="18">
        <f>IF(AND(F65&lt;&gt;0,50506&lt;&gt;0),IF(100*50506/(F65-0)&lt;0.005,"*",100*50506/(F65-0)),0)</f>
        <v>1.8167625899280575</v>
      </c>
    </row>
    <row r="49" spans="1:7" ht="12.75">
      <c r="A49" s="11" t="s">
        <v>131</v>
      </c>
      <c r="B49" s="17">
        <v>121811</v>
      </c>
      <c r="C49" s="17">
        <v>0</v>
      </c>
      <c r="D49" s="17">
        <v>131735</v>
      </c>
      <c r="E49" s="17">
        <v>131735</v>
      </c>
      <c r="F49" s="17">
        <v>136958</v>
      </c>
      <c r="G49" s="18">
        <f>IF(AND(F65&lt;&gt;0,136958&lt;&gt;0),IF(100*136958/(F65-0)&lt;0.005,"*",100*136958/(F65-0)),0)</f>
        <v>4.926546762589928</v>
      </c>
    </row>
    <row r="50" spans="1:7" ht="12.75">
      <c r="A50" s="11" t="s">
        <v>132</v>
      </c>
      <c r="B50" s="17">
        <v>8699</v>
      </c>
      <c r="C50" s="17">
        <v>0</v>
      </c>
      <c r="D50" s="17">
        <v>9408</v>
      </c>
      <c r="E50" s="17">
        <v>9408</v>
      </c>
      <c r="F50" s="17">
        <v>9781</v>
      </c>
      <c r="G50" s="18">
        <f>IF(AND(F65&lt;&gt;0,9781&lt;&gt;0),IF(100*9781/(F65-0)&lt;0.005,"*",100*9781/(F65-0)),0)</f>
        <v>0.35183453237410073</v>
      </c>
    </row>
    <row r="51" spans="1:7" ht="12.75">
      <c r="A51" s="11" t="s">
        <v>133</v>
      </c>
      <c r="B51" s="17">
        <v>8550</v>
      </c>
      <c r="C51" s="17">
        <v>0</v>
      </c>
      <c r="D51" s="17">
        <v>9247</v>
      </c>
      <c r="E51" s="17">
        <v>9247</v>
      </c>
      <c r="F51" s="17">
        <v>9613</v>
      </c>
      <c r="G51" s="18">
        <f>IF(AND(F65&lt;&gt;0,9613&lt;&gt;0),IF(100*9613/(F65-0)&lt;0.005,"*",100*9613/(F65-0)),0)</f>
        <v>0.34579136690647483</v>
      </c>
    </row>
    <row r="52" spans="1:7" ht="12.75">
      <c r="A52" s="11" t="s">
        <v>134</v>
      </c>
      <c r="B52" s="17">
        <v>46212</v>
      </c>
      <c r="C52" s="17">
        <v>0</v>
      </c>
      <c r="D52" s="17">
        <v>49977</v>
      </c>
      <c r="E52" s="17">
        <v>49977</v>
      </c>
      <c r="F52" s="17">
        <v>51958</v>
      </c>
      <c r="G52" s="18">
        <f>IF(AND(F65&lt;&gt;0,51958&lt;&gt;0),IF(100*51958/(F65-0)&lt;0.005,"*",100*51958/(F65-0)),0)</f>
        <v>1.8689928057553957</v>
      </c>
    </row>
    <row r="53" spans="1:7" ht="12.75">
      <c r="A53" s="11" t="s">
        <v>135</v>
      </c>
      <c r="B53" s="17">
        <v>47111</v>
      </c>
      <c r="C53" s="17">
        <v>0</v>
      </c>
      <c r="D53" s="17">
        <v>50949</v>
      </c>
      <c r="E53" s="17">
        <v>50949</v>
      </c>
      <c r="F53" s="17">
        <v>52969</v>
      </c>
      <c r="G53" s="18">
        <f>IF(AND(F65&lt;&gt;0,52969&lt;&gt;0),IF(100*52969/(F65-0)&lt;0.005,"*",100*52969/(F65-0)),0)</f>
        <v>1.9053597122302157</v>
      </c>
    </row>
    <row r="54" spans="1:7" ht="12.75">
      <c r="A54" s="11" t="s">
        <v>136</v>
      </c>
      <c r="B54" s="17">
        <v>23388</v>
      </c>
      <c r="C54" s="17">
        <v>0</v>
      </c>
      <c r="D54" s="17">
        <v>25293</v>
      </c>
      <c r="E54" s="17">
        <v>25293</v>
      </c>
      <c r="F54" s="17">
        <v>26296</v>
      </c>
      <c r="G54" s="18">
        <f>IF(AND(F65&lt;&gt;0,26296&lt;&gt;0),IF(100*26296/(F65-0)&lt;0.005,"*",100*26296/(F65-0)),0)</f>
        <v>0.9458992805755395</v>
      </c>
    </row>
    <row r="55" spans="1:7" ht="12.75">
      <c r="A55" s="11" t="s">
        <v>137</v>
      </c>
      <c r="B55" s="17">
        <v>48207</v>
      </c>
      <c r="C55" s="17">
        <v>0</v>
      </c>
      <c r="D55" s="17">
        <v>52134</v>
      </c>
      <c r="E55" s="17">
        <v>52134</v>
      </c>
      <c r="F55" s="17">
        <v>54201</v>
      </c>
      <c r="G55" s="18">
        <f>IF(AND(F65&lt;&gt;0,54201&lt;&gt;0),IF(100*54201/(F65-0)&lt;0.005,"*",100*54201/(F65-0)),0)</f>
        <v>1.9496762589928058</v>
      </c>
    </row>
    <row r="56" spans="1:7" ht="12.75">
      <c r="A56" s="11" t="s">
        <v>138</v>
      </c>
      <c r="B56" s="17">
        <v>676</v>
      </c>
      <c r="C56" s="17">
        <v>0</v>
      </c>
      <c r="D56" s="17">
        <v>731</v>
      </c>
      <c r="E56" s="17">
        <v>731</v>
      </c>
      <c r="F56" s="17">
        <v>760</v>
      </c>
      <c r="G56" s="18">
        <f>IF(AND(F65&lt;&gt;0,760&lt;&gt;0),IF(100*760/(F65-0)&lt;0.005,"*",100*760/(F65-0)),0)</f>
        <v>0.027338129496402876</v>
      </c>
    </row>
    <row r="57" spans="1:7" ht="12.75">
      <c r="A57" s="11" t="s">
        <v>139</v>
      </c>
      <c r="B57" s="17">
        <v>0</v>
      </c>
      <c r="C57" s="17">
        <v>0</v>
      </c>
      <c r="D57" s="17">
        <v>0</v>
      </c>
      <c r="E57" s="17">
        <v>0</v>
      </c>
      <c r="F57" s="17">
        <v>0</v>
      </c>
      <c r="G57" s="18">
        <f>IF(AND(F65&lt;&gt;0,0&lt;&gt;0),IF(100*0/(F65-0)&lt;0.005,"*",100*0/(F65-0)),0)</f>
        <v>0</v>
      </c>
    </row>
    <row r="58" spans="1:7" ht="12.75">
      <c r="A58" s="11" t="s">
        <v>140</v>
      </c>
      <c r="B58" s="17">
        <v>0</v>
      </c>
      <c r="C58" s="17">
        <v>0</v>
      </c>
      <c r="D58" s="17">
        <v>0</v>
      </c>
      <c r="E58" s="17">
        <v>0</v>
      </c>
      <c r="F58" s="17">
        <v>0</v>
      </c>
      <c r="G58" s="18">
        <f>IF(AND(F65&lt;&gt;0,0&lt;&gt;0),IF(100*0/(F65-0)&lt;0.005,"*",100*0/(F65-0)),0)</f>
        <v>0</v>
      </c>
    </row>
    <row r="59" spans="1:7" ht="12.75">
      <c r="A59" s="11" t="s">
        <v>141</v>
      </c>
      <c r="B59" s="17">
        <v>0</v>
      </c>
      <c r="C59" s="17">
        <v>0</v>
      </c>
      <c r="D59" s="17">
        <v>0</v>
      </c>
      <c r="E59" s="17">
        <v>0</v>
      </c>
      <c r="F59" s="17">
        <v>0</v>
      </c>
      <c r="G59" s="18">
        <f>IF(AND(F65&lt;&gt;0,0&lt;&gt;0),IF(100*0/(F65-0)&lt;0.005,"*",100*0/(F65-0)),0)</f>
        <v>0</v>
      </c>
    </row>
    <row r="60" spans="1:7" ht="12.75">
      <c r="A60" s="11" t="s">
        <v>142</v>
      </c>
      <c r="B60" s="17">
        <v>0</v>
      </c>
      <c r="C60" s="17">
        <v>0</v>
      </c>
      <c r="D60" s="17">
        <v>0</v>
      </c>
      <c r="E60" s="17">
        <v>0</v>
      </c>
      <c r="F60" s="17">
        <v>0</v>
      </c>
      <c r="G60" s="18">
        <f>IF(AND(F65&lt;&gt;0,0&lt;&gt;0),IF(100*0/(F65-0)&lt;0.005,"*",100*0/(F65-0)),0)</f>
        <v>0</v>
      </c>
    </row>
    <row r="61" spans="1:7" ht="12.75">
      <c r="A61" s="11" t="s">
        <v>143</v>
      </c>
      <c r="B61" s="17">
        <v>0</v>
      </c>
      <c r="C61" s="17">
        <v>0</v>
      </c>
      <c r="D61" s="17">
        <v>0</v>
      </c>
      <c r="E61" s="17">
        <v>0</v>
      </c>
      <c r="F61" s="17">
        <v>0</v>
      </c>
      <c r="G61" s="18">
        <f>IF(AND(F65&lt;&gt;0,0&lt;&gt;0),IF(100*0/(F65-0)&lt;0.005,"*",100*0/(F65-0)),0)</f>
        <v>0</v>
      </c>
    </row>
    <row r="62" spans="1:7" ht="12.75">
      <c r="A62" s="11" t="s">
        <v>144</v>
      </c>
      <c r="B62" s="17">
        <v>0</v>
      </c>
      <c r="C62" s="17">
        <v>0</v>
      </c>
      <c r="D62" s="17">
        <v>0</v>
      </c>
      <c r="E62" s="17">
        <v>0</v>
      </c>
      <c r="F62" s="17">
        <v>0</v>
      </c>
      <c r="G62" s="18">
        <f>IF(AND(F65&lt;&gt;0,0&lt;&gt;0),IF(100*0/(F65-0)&lt;0.005,"*",100*0/(F65-0)),0)</f>
        <v>0</v>
      </c>
    </row>
    <row r="63" spans="1:7" ht="12.75">
      <c r="A63" s="11" t="s">
        <v>145</v>
      </c>
      <c r="B63" s="17">
        <v>62</v>
      </c>
      <c r="C63" s="17">
        <v>0</v>
      </c>
      <c r="D63" s="17">
        <v>67</v>
      </c>
      <c r="E63" s="17">
        <v>67</v>
      </c>
      <c r="F63" s="17">
        <v>69</v>
      </c>
      <c r="G63" s="18" t="str">
        <f>IF(AND(F65&lt;&gt;0,69&lt;&gt;0),IF(100*69/(F65-0)&lt;0.005,"*",100*69/(F65-0)),0)</f>
        <v>*</v>
      </c>
    </row>
    <row r="64" spans="1:7" ht="12.75">
      <c r="A64" s="11" t="s">
        <v>146</v>
      </c>
      <c r="B64" s="17">
        <v>0</v>
      </c>
      <c r="C64" s="17">
        <v>0</v>
      </c>
      <c r="D64" s="17">
        <v>0</v>
      </c>
      <c r="E64" s="17">
        <v>0</v>
      </c>
      <c r="F64" s="17">
        <v>0</v>
      </c>
      <c r="G64" s="18">
        <v>0</v>
      </c>
    </row>
    <row r="65" spans="1:7" ht="15" customHeight="1">
      <c r="A65" s="19" t="s">
        <v>87</v>
      </c>
      <c r="B65" s="20">
        <f>10271+13661+116552+19552+474949+17579+41686+1696+10965+115829+37479+15648+7268+83305+67659+35850+16783+47944+16728+14832+23175+30639+124821+24852+10253+34262+7743+13824+27324+3385+64559+20086+154794+53971+5458+154814+41215+44292+87667+7403+18221+3926+44921+121811+8699+8550+46212+47111+23388+48207+676+0+0+0+0+0+0+62+0+0+0+0+0+0+0+0</f>
        <v>2472557</v>
      </c>
      <c r="C65" s="20">
        <f>0+0+0+0+0+0+0+0+0+0+0+0+0+0+0+0+0+0+0+0+0+0+0+0+0+0+0+0+0+0+0+0+0+0+0+0+0+0+0+0+0+0+0+0+0+0+0+0+0+0+0+0+0+0+0+0+0+0+0+0+0+0+0+0+0+0</f>
        <v>0</v>
      </c>
      <c r="D65" s="20">
        <f>11108+14774+126047+21145+513644+19012+45082+1834+11858+125265+40532+16923+7860+90092+73171+38771+18150+51850+18091+16041+25063+33136+134990+26877+11088+37053+8374+14950+29551+3661+69819+21722+167406+58368+5903+167427+44572+47901+94810+8006+19705+4246+48581+131735+9408+9247+49977+50949+25293+52134+731+0+0+0+0+0+0+67+0+0+0+0+0+0+0+0</f>
        <v>2674000</v>
      </c>
      <c r="E65" s="20">
        <f>SUM(C65:D65)</f>
        <v>2674000</v>
      </c>
      <c r="F65" s="20">
        <f>11549+15359+131044+21984+534005+19765+46869+1907+12329+130231+42139+17594+8172+93663+76072+40308+18869+53906+18808+16677+26057+34449+140341+27943+11528+38522+8706+15543+30722+3806+72586+22583+174042+60682+6136+174063+46339+49800+98568+8323+20486+4414+50506+136958+9781+9613+51958+52969+26296+54201+760+0+0+0+0+0+0+69+0+0+0+0+0+0+0+0</f>
        <v>2780000</v>
      </c>
      <c r="G65" s="21" t="s">
        <v>147</v>
      </c>
    </row>
    <row r="66" spans="1:7" ht="15" customHeight="1">
      <c r="A66" s="33" t="s">
        <v>148</v>
      </c>
      <c r="B66" s="33"/>
      <c r="C66" s="33"/>
      <c r="D66" s="33"/>
      <c r="E66" s="33"/>
      <c r="F66" s="33"/>
      <c r="G66" s="33"/>
    </row>
    <row r="67" spans="1:7" ht="15" customHeight="1">
      <c r="A67" s="26" t="s">
        <v>149</v>
      </c>
      <c r="B67" s="26"/>
      <c r="C67" s="26"/>
      <c r="D67" s="26"/>
      <c r="E67" s="26"/>
      <c r="F67" s="26"/>
      <c r="G67" s="26"/>
    </row>
  </sheetData>
  <sheetProtection/>
  <mergeCells count="6">
    <mergeCell ref="A67:G67"/>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183</v>
      </c>
      <c r="B1" s="10"/>
      <c r="C1" s="10"/>
      <c r="D1" s="10"/>
      <c r="E1" s="10"/>
      <c r="F1" s="10"/>
      <c r="G1" s="12" t="s">
        <v>209</v>
      </c>
    </row>
    <row r="2" spans="1:7" ht="12.75">
      <c r="A2" s="13" t="s">
        <v>210</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23961</v>
      </c>
      <c r="C6" s="17">
        <v>0</v>
      </c>
      <c r="D6" s="17">
        <v>23962</v>
      </c>
      <c r="E6" s="17">
        <v>23962</v>
      </c>
      <c r="F6" s="17">
        <v>25453</v>
      </c>
      <c r="G6" s="18">
        <f>IF(AND(F67&lt;&gt;0,25453&lt;&gt;0),IF(100*25453/(F67-0)&lt;0.005,"*",100*25453/(F67-0)),0)</f>
        <v>1.27265</v>
      </c>
    </row>
    <row r="7" spans="1:7" ht="12.75">
      <c r="A7" s="11" t="s">
        <v>89</v>
      </c>
      <c r="B7" s="17">
        <v>3644</v>
      </c>
      <c r="C7" s="17">
        <v>0</v>
      </c>
      <c r="D7" s="17">
        <v>3640</v>
      </c>
      <c r="E7" s="17">
        <v>3640</v>
      </c>
      <c r="F7" s="17">
        <v>3867</v>
      </c>
      <c r="G7" s="18">
        <f>IF(AND(F67&lt;&gt;0,3867&lt;&gt;0),IF(100*3867/(F67-0)&lt;0.005,"*",100*3867/(F67-0)),0)</f>
        <v>0.19335</v>
      </c>
    </row>
    <row r="8" spans="1:7" ht="12.75">
      <c r="A8" s="11" t="s">
        <v>90</v>
      </c>
      <c r="B8" s="17">
        <v>32849</v>
      </c>
      <c r="C8" s="17">
        <v>0</v>
      </c>
      <c r="D8" s="17">
        <v>33263</v>
      </c>
      <c r="E8" s="17">
        <v>33263</v>
      </c>
      <c r="F8" s="17">
        <v>35332</v>
      </c>
      <c r="G8" s="18">
        <f>IF(AND(F67&lt;&gt;0,35332&lt;&gt;0),IF(100*35332/(F67-0)&lt;0.005,"*",100*35332/(F67-0)),0)</f>
        <v>1.7666</v>
      </c>
    </row>
    <row r="9" spans="1:7" ht="12.75">
      <c r="A9" s="11" t="s">
        <v>91</v>
      </c>
      <c r="B9" s="17">
        <v>14670</v>
      </c>
      <c r="C9" s="17">
        <v>0</v>
      </c>
      <c r="D9" s="17">
        <v>14658</v>
      </c>
      <c r="E9" s="17">
        <v>14658</v>
      </c>
      <c r="F9" s="17">
        <v>15570</v>
      </c>
      <c r="G9" s="18">
        <f>IF(AND(F67&lt;&gt;0,15570&lt;&gt;0),IF(100*15570/(F67-0)&lt;0.005,"*",100*15570/(F67-0)),0)</f>
        <v>0.7785</v>
      </c>
    </row>
    <row r="10" spans="1:7" ht="12.75">
      <c r="A10" s="11" t="s">
        <v>92</v>
      </c>
      <c r="B10" s="17">
        <v>190020</v>
      </c>
      <c r="C10" s="17">
        <v>0</v>
      </c>
      <c r="D10" s="17">
        <v>191732</v>
      </c>
      <c r="E10" s="17">
        <v>191732</v>
      </c>
      <c r="F10" s="17">
        <v>203664</v>
      </c>
      <c r="G10" s="18">
        <f>IF(AND(F67&lt;&gt;0,203664&lt;&gt;0),IF(100*203664/(F67-0)&lt;0.005,"*",100*203664/(F67-0)),0)</f>
        <v>10.1832</v>
      </c>
    </row>
    <row r="11" spans="1:7" ht="12.75">
      <c r="A11" s="11" t="s">
        <v>93</v>
      </c>
      <c r="B11" s="17">
        <v>26116</v>
      </c>
      <c r="C11" s="17">
        <v>0</v>
      </c>
      <c r="D11" s="17">
        <v>26465</v>
      </c>
      <c r="E11" s="17">
        <v>26465</v>
      </c>
      <c r="F11" s="17">
        <v>28112</v>
      </c>
      <c r="G11" s="18">
        <f>IF(AND(F67&lt;&gt;0,28112&lt;&gt;0),IF(100*28112/(F67-0)&lt;0.005,"*",100*28112/(F67-0)),0)</f>
        <v>1.4056</v>
      </c>
    </row>
    <row r="12" spans="1:7" ht="12.75">
      <c r="A12" s="11" t="s">
        <v>94</v>
      </c>
      <c r="B12" s="17">
        <v>17826</v>
      </c>
      <c r="C12" s="17">
        <v>0</v>
      </c>
      <c r="D12" s="17">
        <v>17772</v>
      </c>
      <c r="E12" s="17">
        <v>17772</v>
      </c>
      <c r="F12" s="17">
        <v>18878</v>
      </c>
      <c r="G12" s="18">
        <f>IF(AND(F67&lt;&gt;0,18878&lt;&gt;0),IF(100*18878/(F67-0)&lt;0.005,"*",100*18878/(F67-0)),0)</f>
        <v>0.9439</v>
      </c>
    </row>
    <row r="13" spans="1:7" ht="12.75">
      <c r="A13" s="11" t="s">
        <v>95</v>
      </c>
      <c r="B13" s="17">
        <v>4589</v>
      </c>
      <c r="C13" s="17">
        <v>0</v>
      </c>
      <c r="D13" s="17">
        <v>4623</v>
      </c>
      <c r="E13" s="17">
        <v>4623</v>
      </c>
      <c r="F13" s="17">
        <v>4911</v>
      </c>
      <c r="G13" s="18">
        <f>IF(AND(F67&lt;&gt;0,4911&lt;&gt;0),IF(100*4911/(F67-0)&lt;0.005,"*",100*4911/(F67-0)),0)</f>
        <v>0.24555</v>
      </c>
    </row>
    <row r="14" spans="1:7" ht="12.75">
      <c r="A14" s="11" t="s">
        <v>96</v>
      </c>
      <c r="B14" s="17">
        <v>3205</v>
      </c>
      <c r="C14" s="17">
        <v>0</v>
      </c>
      <c r="D14" s="17">
        <v>3256</v>
      </c>
      <c r="E14" s="17">
        <v>3256</v>
      </c>
      <c r="F14" s="17">
        <v>3458</v>
      </c>
      <c r="G14" s="18">
        <f>IF(AND(F67&lt;&gt;0,3458&lt;&gt;0),IF(100*3458/(F67-0)&lt;0.005,"*",100*3458/(F67-0)),0)</f>
        <v>0.1729</v>
      </c>
    </row>
    <row r="15" spans="1:7" ht="12.75">
      <c r="A15" s="11" t="s">
        <v>97</v>
      </c>
      <c r="B15" s="17">
        <v>96926</v>
      </c>
      <c r="C15" s="17">
        <v>0</v>
      </c>
      <c r="D15" s="17">
        <v>98297</v>
      </c>
      <c r="E15" s="17">
        <v>98297</v>
      </c>
      <c r="F15" s="17">
        <v>104415</v>
      </c>
      <c r="G15" s="18">
        <f>IF(AND(F67&lt;&gt;0,104415&lt;&gt;0),IF(100*104415/(F67-0)&lt;0.005,"*",100*104415/(F67-0)),0)</f>
        <v>5.22075</v>
      </c>
    </row>
    <row r="16" spans="1:7" ht="12.75">
      <c r="A16" s="11" t="s">
        <v>98</v>
      </c>
      <c r="B16" s="17">
        <v>49533</v>
      </c>
      <c r="C16" s="17">
        <v>0</v>
      </c>
      <c r="D16" s="17">
        <v>49893</v>
      </c>
      <c r="E16" s="17">
        <v>49893</v>
      </c>
      <c r="F16" s="17">
        <v>52998</v>
      </c>
      <c r="G16" s="18">
        <f>IF(AND(F67&lt;&gt;0,52998&lt;&gt;0),IF(100*52998/(F67-0)&lt;0.005,"*",100*52998/(F67-0)),0)</f>
        <v>2.6499</v>
      </c>
    </row>
    <row r="17" spans="1:7" ht="12.75">
      <c r="A17" s="11" t="s">
        <v>99</v>
      </c>
      <c r="B17" s="17">
        <v>6960</v>
      </c>
      <c r="C17" s="17">
        <v>0</v>
      </c>
      <c r="D17" s="17">
        <v>7014</v>
      </c>
      <c r="E17" s="17">
        <v>7014</v>
      </c>
      <c r="F17" s="17">
        <v>7451</v>
      </c>
      <c r="G17" s="18">
        <f>IF(AND(F67&lt;&gt;0,7451&lt;&gt;0),IF(100*7451/(F67-0)&lt;0.005,"*",100*7451/(F67-0)),0)</f>
        <v>0.37255</v>
      </c>
    </row>
    <row r="18" spans="1:7" ht="12.75">
      <c r="A18" s="11" t="s">
        <v>100</v>
      </c>
      <c r="B18" s="17">
        <v>7992</v>
      </c>
      <c r="C18" s="17">
        <v>0</v>
      </c>
      <c r="D18" s="17">
        <v>8076</v>
      </c>
      <c r="E18" s="17">
        <v>8076</v>
      </c>
      <c r="F18" s="17">
        <v>8579</v>
      </c>
      <c r="G18" s="18">
        <f>IF(AND(F67&lt;&gt;0,8579&lt;&gt;0),IF(100*8579/(F67-0)&lt;0.005,"*",100*8579/(F67-0)),0)</f>
        <v>0.42895</v>
      </c>
    </row>
    <row r="19" spans="1:7" ht="12.75">
      <c r="A19" s="11" t="s">
        <v>101</v>
      </c>
      <c r="B19" s="17">
        <v>63859</v>
      </c>
      <c r="C19" s="17">
        <v>0</v>
      </c>
      <c r="D19" s="17">
        <v>63646</v>
      </c>
      <c r="E19" s="17">
        <v>63646</v>
      </c>
      <c r="F19" s="17">
        <v>67607</v>
      </c>
      <c r="G19" s="18">
        <f>IF(AND(F67&lt;&gt;0,67607&lt;&gt;0),IF(100*67607/(F67-0)&lt;0.005,"*",100*67607/(F67-0)),0)</f>
        <v>3.38035</v>
      </c>
    </row>
    <row r="20" spans="1:7" ht="12.75">
      <c r="A20" s="11" t="s">
        <v>102</v>
      </c>
      <c r="B20" s="17">
        <v>32573</v>
      </c>
      <c r="C20" s="17">
        <v>0</v>
      </c>
      <c r="D20" s="17">
        <v>32597</v>
      </c>
      <c r="E20" s="17">
        <v>32597</v>
      </c>
      <c r="F20" s="17">
        <v>34625</v>
      </c>
      <c r="G20" s="18">
        <f>IF(AND(F67&lt;&gt;0,34625&lt;&gt;0),IF(100*34625/(F67-0)&lt;0.005,"*",100*34625/(F67-0)),0)</f>
        <v>1.73125</v>
      </c>
    </row>
    <row r="21" spans="1:7" ht="12.75">
      <c r="A21" s="11" t="s">
        <v>103</v>
      </c>
      <c r="B21" s="17">
        <v>15320</v>
      </c>
      <c r="C21" s="17">
        <v>0</v>
      </c>
      <c r="D21" s="17">
        <v>15353</v>
      </c>
      <c r="E21" s="17">
        <v>15353</v>
      </c>
      <c r="F21" s="17">
        <v>16308</v>
      </c>
      <c r="G21" s="18">
        <f>IF(AND(F67&lt;&gt;0,16308&lt;&gt;0),IF(100*16308/(F67-0)&lt;0.005,"*",100*16308/(F67-0)),0)</f>
        <v>0.8154</v>
      </c>
    </row>
    <row r="22" spans="1:7" ht="12.75">
      <c r="A22" s="11" t="s">
        <v>104</v>
      </c>
      <c r="B22" s="17">
        <v>14346</v>
      </c>
      <c r="C22" s="17">
        <v>0</v>
      </c>
      <c r="D22" s="17">
        <v>14349</v>
      </c>
      <c r="E22" s="17">
        <v>14349</v>
      </c>
      <c r="F22" s="17">
        <v>15242</v>
      </c>
      <c r="G22" s="18">
        <f>IF(AND(F67&lt;&gt;0,15242&lt;&gt;0),IF(100*15242/(F67-0)&lt;0.005,"*",100*15242/(F67-0)),0)</f>
        <v>0.7621</v>
      </c>
    </row>
    <row r="23" spans="1:7" ht="12.75">
      <c r="A23" s="11" t="s">
        <v>105</v>
      </c>
      <c r="B23" s="17">
        <v>21788</v>
      </c>
      <c r="C23" s="17">
        <v>0</v>
      </c>
      <c r="D23" s="17">
        <v>21808</v>
      </c>
      <c r="E23" s="17">
        <v>21808</v>
      </c>
      <c r="F23" s="17">
        <v>23165</v>
      </c>
      <c r="G23" s="18">
        <f>IF(AND(F67&lt;&gt;0,23165&lt;&gt;0),IF(100*23165/(F67-0)&lt;0.005,"*",100*23165/(F67-0)),0)</f>
        <v>1.15825</v>
      </c>
    </row>
    <row r="24" spans="1:7" ht="12.75">
      <c r="A24" s="11" t="s">
        <v>106</v>
      </c>
      <c r="B24" s="17">
        <v>22929</v>
      </c>
      <c r="C24" s="17">
        <v>0</v>
      </c>
      <c r="D24" s="17">
        <v>22975</v>
      </c>
      <c r="E24" s="17">
        <v>22975</v>
      </c>
      <c r="F24" s="17">
        <v>24405</v>
      </c>
      <c r="G24" s="18">
        <f>IF(AND(F67&lt;&gt;0,24405&lt;&gt;0),IF(100*24405/(F67-0)&lt;0.005,"*",100*24405/(F67-0)),0)</f>
        <v>1.22025</v>
      </c>
    </row>
    <row r="25" spans="1:7" ht="12.75">
      <c r="A25" s="11" t="s">
        <v>107</v>
      </c>
      <c r="B25" s="17">
        <v>6585</v>
      </c>
      <c r="C25" s="17">
        <v>0</v>
      </c>
      <c r="D25" s="17">
        <v>6572</v>
      </c>
      <c r="E25" s="17">
        <v>6572</v>
      </c>
      <c r="F25" s="17">
        <v>6981</v>
      </c>
      <c r="G25" s="18">
        <f>IF(AND(F67&lt;&gt;0,6981&lt;&gt;0),IF(100*6981/(F67-0)&lt;0.005,"*",100*6981/(F67-0)),0)</f>
        <v>0.34905</v>
      </c>
    </row>
    <row r="26" spans="1:7" ht="12.75">
      <c r="A26" s="11" t="s">
        <v>108</v>
      </c>
      <c r="B26" s="17">
        <v>29390</v>
      </c>
      <c r="C26" s="17">
        <v>0</v>
      </c>
      <c r="D26" s="17">
        <v>29531</v>
      </c>
      <c r="E26" s="17">
        <v>29531</v>
      </c>
      <c r="F26" s="17">
        <v>31369</v>
      </c>
      <c r="G26" s="18">
        <f>IF(AND(F67&lt;&gt;0,31369&lt;&gt;0),IF(100*31369/(F67-0)&lt;0.005,"*",100*31369/(F67-0)),0)</f>
        <v>1.56845</v>
      </c>
    </row>
    <row r="27" spans="1:7" ht="12.75">
      <c r="A27" s="11" t="s">
        <v>109</v>
      </c>
      <c r="B27" s="17">
        <v>33177</v>
      </c>
      <c r="C27" s="17">
        <v>0</v>
      </c>
      <c r="D27" s="17">
        <v>33332</v>
      </c>
      <c r="E27" s="17">
        <v>33332</v>
      </c>
      <c r="F27" s="17">
        <v>35405</v>
      </c>
      <c r="G27" s="18">
        <f>IF(AND(F67&lt;&gt;0,35405&lt;&gt;0),IF(100*35405/(F67-0)&lt;0.005,"*",100*35405/(F67-0)),0)</f>
        <v>1.77025</v>
      </c>
    </row>
    <row r="28" spans="1:7" ht="12.75">
      <c r="A28" s="11" t="s">
        <v>110</v>
      </c>
      <c r="B28" s="17">
        <v>49054</v>
      </c>
      <c r="C28" s="17">
        <v>0</v>
      </c>
      <c r="D28" s="17">
        <v>48967</v>
      </c>
      <c r="E28" s="17">
        <v>48967</v>
      </c>
      <c r="F28" s="17">
        <v>52014</v>
      </c>
      <c r="G28" s="18">
        <f>IF(AND(F67&lt;&gt;0,52014&lt;&gt;0),IF(100*52014/(F67-0)&lt;0.005,"*",100*52014/(F67-0)),0)</f>
        <v>2.6007</v>
      </c>
    </row>
    <row r="29" spans="1:7" ht="12.75">
      <c r="A29" s="11" t="s">
        <v>111</v>
      </c>
      <c r="B29" s="17">
        <v>26870</v>
      </c>
      <c r="C29" s="17">
        <v>0</v>
      </c>
      <c r="D29" s="17">
        <v>26965</v>
      </c>
      <c r="E29" s="17">
        <v>26965</v>
      </c>
      <c r="F29" s="17">
        <v>28643</v>
      </c>
      <c r="G29" s="18">
        <f>IF(AND(F67&lt;&gt;0,28643&lt;&gt;0),IF(100*28643/(F67-0)&lt;0.005,"*",100*28643/(F67-0)),0)</f>
        <v>1.43215</v>
      </c>
    </row>
    <row r="30" spans="1:7" ht="12.75">
      <c r="A30" s="11" t="s">
        <v>112</v>
      </c>
      <c r="B30" s="17">
        <v>14828</v>
      </c>
      <c r="C30" s="17">
        <v>0</v>
      </c>
      <c r="D30" s="17">
        <v>14794</v>
      </c>
      <c r="E30" s="17">
        <v>14794</v>
      </c>
      <c r="F30" s="17">
        <v>15715</v>
      </c>
      <c r="G30" s="18">
        <f>IF(AND(F67&lt;&gt;0,15715&lt;&gt;0),IF(100*15715/(F67-0)&lt;0.005,"*",100*15715/(F67-0)),0)</f>
        <v>0.78575</v>
      </c>
    </row>
    <row r="31" spans="1:7" ht="12.75">
      <c r="A31" s="11" t="s">
        <v>113</v>
      </c>
      <c r="B31" s="17">
        <v>29962</v>
      </c>
      <c r="C31" s="17">
        <v>0</v>
      </c>
      <c r="D31" s="17">
        <v>29962</v>
      </c>
      <c r="E31" s="17">
        <v>29962</v>
      </c>
      <c r="F31" s="17">
        <v>31826</v>
      </c>
      <c r="G31" s="18">
        <f>IF(AND(F67&lt;&gt;0,31826&lt;&gt;0),IF(100*31826/(F67-0)&lt;0.005,"*",100*31826/(F67-0)),0)</f>
        <v>1.5913</v>
      </c>
    </row>
    <row r="32" spans="1:7" ht="12.75">
      <c r="A32" s="11" t="s">
        <v>114</v>
      </c>
      <c r="B32" s="17">
        <v>5032</v>
      </c>
      <c r="C32" s="17">
        <v>0</v>
      </c>
      <c r="D32" s="17">
        <v>5058</v>
      </c>
      <c r="E32" s="17">
        <v>5058</v>
      </c>
      <c r="F32" s="17">
        <v>5372</v>
      </c>
      <c r="G32" s="18">
        <f>IF(AND(F67&lt;&gt;0,5372&lt;&gt;0),IF(100*5372/(F67-0)&lt;0.005,"*",100*5372/(F67-0)),0)</f>
        <v>0.2686</v>
      </c>
    </row>
    <row r="33" spans="1:7" ht="12.75">
      <c r="A33" s="11" t="s">
        <v>115</v>
      </c>
      <c r="B33" s="17">
        <v>9263</v>
      </c>
      <c r="C33" s="17">
        <v>0</v>
      </c>
      <c r="D33" s="17">
        <v>9297</v>
      </c>
      <c r="E33" s="17">
        <v>9297</v>
      </c>
      <c r="F33" s="17">
        <v>9876</v>
      </c>
      <c r="G33" s="18">
        <f>IF(AND(F67&lt;&gt;0,9876&lt;&gt;0),IF(100*9876/(F67-0)&lt;0.005,"*",100*9876/(F67-0)),0)</f>
        <v>0.4938</v>
      </c>
    </row>
    <row r="34" spans="1:7" ht="12.75">
      <c r="A34" s="11" t="s">
        <v>116</v>
      </c>
      <c r="B34" s="17">
        <v>13831</v>
      </c>
      <c r="C34" s="17">
        <v>0</v>
      </c>
      <c r="D34" s="17">
        <v>14029</v>
      </c>
      <c r="E34" s="17">
        <v>14029</v>
      </c>
      <c r="F34" s="17">
        <v>14902</v>
      </c>
      <c r="G34" s="18">
        <f>IF(AND(F67&lt;&gt;0,14902&lt;&gt;0),IF(100*14902/(F67-0)&lt;0.005,"*",100*14902/(F67-0)),0)</f>
        <v>0.7451</v>
      </c>
    </row>
    <row r="35" spans="1:7" ht="12.75">
      <c r="A35" s="11" t="s">
        <v>117</v>
      </c>
      <c r="B35" s="17">
        <v>6561</v>
      </c>
      <c r="C35" s="17">
        <v>0</v>
      </c>
      <c r="D35" s="17">
        <v>6556</v>
      </c>
      <c r="E35" s="17">
        <v>6556</v>
      </c>
      <c r="F35" s="17">
        <v>6964</v>
      </c>
      <c r="G35" s="18">
        <f>IF(AND(F67&lt;&gt;0,6964&lt;&gt;0),IF(100*6964/(F67-0)&lt;0.005,"*",100*6964/(F67-0)),0)</f>
        <v>0.3482</v>
      </c>
    </row>
    <row r="36" spans="1:7" ht="12.75">
      <c r="A36" s="11" t="s">
        <v>118</v>
      </c>
      <c r="B36" s="17">
        <v>44115</v>
      </c>
      <c r="C36" s="17">
        <v>0</v>
      </c>
      <c r="D36" s="17">
        <v>44166</v>
      </c>
      <c r="E36" s="17">
        <v>44166</v>
      </c>
      <c r="F36" s="17">
        <v>46914</v>
      </c>
      <c r="G36" s="18">
        <f>IF(AND(F67&lt;&gt;0,46914&lt;&gt;0),IF(100*46914/(F67-0)&lt;0.005,"*",100*46914/(F67-0)),0)</f>
        <v>2.3457</v>
      </c>
    </row>
    <row r="37" spans="1:7" ht="12.75">
      <c r="A37" s="11" t="s">
        <v>119</v>
      </c>
      <c r="B37" s="17">
        <v>10337</v>
      </c>
      <c r="C37" s="17">
        <v>0</v>
      </c>
      <c r="D37" s="17">
        <v>10305</v>
      </c>
      <c r="E37" s="17">
        <v>10305</v>
      </c>
      <c r="F37" s="17">
        <v>10947</v>
      </c>
      <c r="G37" s="18">
        <f>IF(AND(F67&lt;&gt;0,10947&lt;&gt;0),IF(100*10947/(F67-0)&lt;0.005,"*",100*10947/(F67-0)),0)</f>
        <v>0.54735</v>
      </c>
    </row>
    <row r="38" spans="1:7" ht="12.75">
      <c r="A38" s="11" t="s">
        <v>120</v>
      </c>
      <c r="B38" s="17">
        <v>97413</v>
      </c>
      <c r="C38" s="17">
        <v>0</v>
      </c>
      <c r="D38" s="17">
        <v>97571</v>
      </c>
      <c r="E38" s="17">
        <v>97571</v>
      </c>
      <c r="F38" s="17">
        <v>103643</v>
      </c>
      <c r="G38" s="18">
        <f>IF(AND(F67&lt;&gt;0,103643&lt;&gt;0),IF(100*103643/(F67-0)&lt;0.005,"*",100*103643/(F67-0)),0)</f>
        <v>5.18215</v>
      </c>
    </row>
    <row r="39" spans="1:7" ht="12.75">
      <c r="A39" s="11" t="s">
        <v>121</v>
      </c>
      <c r="B39" s="17">
        <v>48818</v>
      </c>
      <c r="C39" s="17">
        <v>0</v>
      </c>
      <c r="D39" s="17">
        <v>49135</v>
      </c>
      <c r="E39" s="17">
        <v>49135</v>
      </c>
      <c r="F39" s="17">
        <v>52193</v>
      </c>
      <c r="G39" s="18">
        <f>IF(AND(F67&lt;&gt;0,52193&lt;&gt;0),IF(100*52193/(F67-0)&lt;0.005,"*",100*52193/(F67-0)),0)</f>
        <v>2.60965</v>
      </c>
    </row>
    <row r="40" spans="1:7" ht="12.75">
      <c r="A40" s="11" t="s">
        <v>122</v>
      </c>
      <c r="B40" s="17">
        <v>3586</v>
      </c>
      <c r="C40" s="17">
        <v>0</v>
      </c>
      <c r="D40" s="17">
        <v>3654</v>
      </c>
      <c r="E40" s="17">
        <v>3654</v>
      </c>
      <c r="F40" s="17">
        <v>3881</v>
      </c>
      <c r="G40" s="18">
        <f>IF(AND(F67&lt;&gt;0,3881&lt;&gt;0),IF(100*3881/(F67-0)&lt;0.005,"*",100*3881/(F67-0)),0)</f>
        <v>0.19405</v>
      </c>
    </row>
    <row r="41" spans="1:7" ht="12.75">
      <c r="A41" s="11" t="s">
        <v>123</v>
      </c>
      <c r="B41" s="17">
        <v>57358</v>
      </c>
      <c r="C41" s="17">
        <v>0</v>
      </c>
      <c r="D41" s="17">
        <v>57289</v>
      </c>
      <c r="E41" s="17">
        <v>57289</v>
      </c>
      <c r="F41" s="17">
        <v>60855</v>
      </c>
      <c r="G41" s="18">
        <f>IF(AND(F67&lt;&gt;0,60855&lt;&gt;0),IF(100*60855/(F67-0)&lt;0.005,"*",100*60855/(F67-0)),0)</f>
        <v>3.04275</v>
      </c>
    </row>
    <row r="42" spans="1:7" ht="12.75">
      <c r="A42" s="11" t="s">
        <v>124</v>
      </c>
      <c r="B42" s="17">
        <v>19088</v>
      </c>
      <c r="C42" s="17">
        <v>0</v>
      </c>
      <c r="D42" s="17">
        <v>19162</v>
      </c>
      <c r="E42" s="17">
        <v>19162</v>
      </c>
      <c r="F42" s="17">
        <v>20355</v>
      </c>
      <c r="G42" s="18">
        <f>IF(AND(F67&lt;&gt;0,20355&lt;&gt;0),IF(100*20355/(F67-0)&lt;0.005,"*",100*20355/(F67-0)),0)</f>
        <v>1.01775</v>
      </c>
    </row>
    <row r="43" spans="1:7" ht="12.75">
      <c r="A43" s="11" t="s">
        <v>125</v>
      </c>
      <c r="B43" s="17">
        <v>19482</v>
      </c>
      <c r="C43" s="17">
        <v>0</v>
      </c>
      <c r="D43" s="17">
        <v>19618</v>
      </c>
      <c r="E43" s="17">
        <v>19618</v>
      </c>
      <c r="F43" s="17">
        <v>20839</v>
      </c>
      <c r="G43" s="18">
        <f>IF(AND(F67&lt;&gt;0,20839&lt;&gt;0),IF(100*20839/(F67-0)&lt;0.005,"*",100*20839/(F67-0)),0)</f>
        <v>1.04195</v>
      </c>
    </row>
    <row r="44" spans="1:7" ht="12.75">
      <c r="A44" s="11" t="s">
        <v>126</v>
      </c>
      <c r="B44" s="17">
        <v>63322</v>
      </c>
      <c r="C44" s="17">
        <v>0</v>
      </c>
      <c r="D44" s="17">
        <v>63185</v>
      </c>
      <c r="E44" s="17">
        <v>63185</v>
      </c>
      <c r="F44" s="17">
        <v>67117</v>
      </c>
      <c r="G44" s="18">
        <f>IF(AND(F67&lt;&gt;0,67117&lt;&gt;0),IF(100*67117/(F67-0)&lt;0.005,"*",100*67117/(F67-0)),0)</f>
        <v>3.35585</v>
      </c>
    </row>
    <row r="45" spans="1:7" ht="12.75">
      <c r="A45" s="11" t="s">
        <v>127</v>
      </c>
      <c r="B45" s="17">
        <v>5212</v>
      </c>
      <c r="C45" s="17">
        <v>0</v>
      </c>
      <c r="D45" s="17">
        <v>5213</v>
      </c>
      <c r="E45" s="17">
        <v>5213</v>
      </c>
      <c r="F45" s="17">
        <v>5538</v>
      </c>
      <c r="G45" s="18">
        <f>IF(AND(F67&lt;&gt;0,5538&lt;&gt;0),IF(100*5538/(F67-0)&lt;0.005,"*",100*5538/(F67-0)),0)</f>
        <v>0.2769</v>
      </c>
    </row>
    <row r="46" spans="1:7" ht="12.75">
      <c r="A46" s="11" t="s">
        <v>128</v>
      </c>
      <c r="B46" s="17">
        <v>23670</v>
      </c>
      <c r="C46" s="17">
        <v>0</v>
      </c>
      <c r="D46" s="17">
        <v>23878</v>
      </c>
      <c r="E46" s="17">
        <v>23878</v>
      </c>
      <c r="F46" s="17">
        <v>25364</v>
      </c>
      <c r="G46" s="18">
        <f>IF(AND(F67&lt;&gt;0,25364&lt;&gt;0),IF(100*25364/(F67-0)&lt;0.005,"*",100*25364/(F67-0)),0)</f>
        <v>1.2682</v>
      </c>
    </row>
    <row r="47" spans="1:7" ht="12.75">
      <c r="A47" s="11" t="s">
        <v>129</v>
      </c>
      <c r="B47" s="17">
        <v>4188</v>
      </c>
      <c r="C47" s="17">
        <v>0</v>
      </c>
      <c r="D47" s="17">
        <v>4216</v>
      </c>
      <c r="E47" s="17">
        <v>4216</v>
      </c>
      <c r="F47" s="17">
        <v>4478</v>
      </c>
      <c r="G47" s="18">
        <f>IF(AND(F67&lt;&gt;0,4478&lt;&gt;0),IF(100*4478/(F67-0)&lt;0.005,"*",100*4478/(F67-0)),0)</f>
        <v>0.2239</v>
      </c>
    </row>
    <row r="48" spans="1:7" ht="12.75">
      <c r="A48" s="11" t="s">
        <v>130</v>
      </c>
      <c r="B48" s="17">
        <v>32201</v>
      </c>
      <c r="C48" s="17">
        <v>0</v>
      </c>
      <c r="D48" s="17">
        <v>32362</v>
      </c>
      <c r="E48" s="17">
        <v>32362</v>
      </c>
      <c r="F48" s="17">
        <v>34376</v>
      </c>
      <c r="G48" s="18">
        <f>IF(AND(F67&lt;&gt;0,34376&lt;&gt;0),IF(100*34376/(F67-0)&lt;0.005,"*",100*34376/(F67-0)),0)</f>
        <v>1.7188</v>
      </c>
    </row>
    <row r="49" spans="1:7" ht="12.75">
      <c r="A49" s="11" t="s">
        <v>131</v>
      </c>
      <c r="B49" s="17">
        <v>131107</v>
      </c>
      <c r="C49" s="17">
        <v>0</v>
      </c>
      <c r="D49" s="17">
        <v>133201</v>
      </c>
      <c r="E49" s="17">
        <v>133201</v>
      </c>
      <c r="F49" s="17">
        <v>141490</v>
      </c>
      <c r="G49" s="18">
        <f>IF(AND(F67&lt;&gt;0,141490&lt;&gt;0),IF(100*141490/(F67-0)&lt;0.005,"*",100*141490/(F67-0)),0)</f>
        <v>7.0745</v>
      </c>
    </row>
    <row r="50" spans="1:7" ht="12.75">
      <c r="A50" s="11" t="s">
        <v>132</v>
      </c>
      <c r="B50" s="17">
        <v>14380</v>
      </c>
      <c r="C50" s="17">
        <v>0</v>
      </c>
      <c r="D50" s="17">
        <v>14542</v>
      </c>
      <c r="E50" s="17">
        <v>14542</v>
      </c>
      <c r="F50" s="17">
        <v>15447</v>
      </c>
      <c r="G50" s="18">
        <f>IF(AND(F67&lt;&gt;0,15447&lt;&gt;0),IF(100*15447/(F67-0)&lt;0.005,"*",100*15447/(F67-0)),0)</f>
        <v>0.77235</v>
      </c>
    </row>
    <row r="51" spans="1:7" ht="12.75">
      <c r="A51" s="11" t="s">
        <v>133</v>
      </c>
      <c r="B51" s="17">
        <v>3106</v>
      </c>
      <c r="C51" s="17">
        <v>0</v>
      </c>
      <c r="D51" s="17">
        <v>3096</v>
      </c>
      <c r="E51" s="17">
        <v>3096</v>
      </c>
      <c r="F51" s="17">
        <v>3289</v>
      </c>
      <c r="G51" s="18">
        <f>IF(AND(F67&lt;&gt;0,3289&lt;&gt;0),IF(100*3289/(F67-0)&lt;0.005,"*",100*3289/(F67-0)),0)</f>
        <v>0.16445</v>
      </c>
    </row>
    <row r="52" spans="1:7" ht="12.75">
      <c r="A52" s="11" t="s">
        <v>134</v>
      </c>
      <c r="B52" s="17">
        <v>40948</v>
      </c>
      <c r="C52" s="17">
        <v>0</v>
      </c>
      <c r="D52" s="17">
        <v>41142</v>
      </c>
      <c r="E52" s="17">
        <v>41142</v>
      </c>
      <c r="F52" s="17">
        <v>43702</v>
      </c>
      <c r="G52" s="18">
        <f>IF(AND(F67&lt;&gt;0,43702&lt;&gt;0),IF(100*43702/(F67-0)&lt;0.005,"*",100*43702/(F67-0)),0)</f>
        <v>2.1851</v>
      </c>
    </row>
    <row r="53" spans="1:7" ht="12.75">
      <c r="A53" s="11" t="s">
        <v>135</v>
      </c>
      <c r="B53" s="17">
        <v>34558</v>
      </c>
      <c r="C53" s="17">
        <v>0</v>
      </c>
      <c r="D53" s="17">
        <v>34893</v>
      </c>
      <c r="E53" s="17">
        <v>34893</v>
      </c>
      <c r="F53" s="17">
        <v>37064</v>
      </c>
      <c r="G53" s="18">
        <f>IF(AND(F67&lt;&gt;0,37064&lt;&gt;0),IF(100*37064/(F67-0)&lt;0.005,"*",100*37064/(F67-0)),0)</f>
        <v>1.8532</v>
      </c>
    </row>
    <row r="54" spans="1:7" ht="12.75">
      <c r="A54" s="11" t="s">
        <v>136</v>
      </c>
      <c r="B54" s="17">
        <v>9192</v>
      </c>
      <c r="C54" s="17">
        <v>0</v>
      </c>
      <c r="D54" s="17">
        <v>9143</v>
      </c>
      <c r="E54" s="17">
        <v>9143</v>
      </c>
      <c r="F54" s="17">
        <v>9712</v>
      </c>
      <c r="G54" s="18">
        <f>IF(AND(F67&lt;&gt;0,9712&lt;&gt;0),IF(100*9712/(F67-0)&lt;0.005,"*",100*9712/(F67-0)),0)</f>
        <v>0.4856</v>
      </c>
    </row>
    <row r="55" spans="1:7" ht="12.75">
      <c r="A55" s="11" t="s">
        <v>137</v>
      </c>
      <c r="B55" s="17">
        <v>28467</v>
      </c>
      <c r="C55" s="17">
        <v>0</v>
      </c>
      <c r="D55" s="17">
        <v>28449</v>
      </c>
      <c r="E55" s="17">
        <v>28449</v>
      </c>
      <c r="F55" s="17">
        <v>30220</v>
      </c>
      <c r="G55" s="18">
        <f>IF(AND(F67&lt;&gt;0,30220&lt;&gt;0),IF(100*30220/(F67-0)&lt;0.005,"*",100*30220/(F67-0)),0)</f>
        <v>1.511</v>
      </c>
    </row>
    <row r="56" spans="1:7" ht="12.75">
      <c r="A56" s="11" t="s">
        <v>138</v>
      </c>
      <c r="B56" s="17">
        <v>2888</v>
      </c>
      <c r="C56" s="17">
        <v>0</v>
      </c>
      <c r="D56" s="17">
        <v>2886</v>
      </c>
      <c r="E56" s="17">
        <v>2886</v>
      </c>
      <c r="F56" s="17">
        <v>3066</v>
      </c>
      <c r="G56" s="18">
        <f>IF(AND(F67&lt;&gt;0,3066&lt;&gt;0),IF(100*3066/(F67-0)&lt;0.005,"*",100*3066/(F67-0)),0)</f>
        <v>0.1533</v>
      </c>
    </row>
    <row r="57" spans="1:7" ht="12.75">
      <c r="A57" s="11" t="s">
        <v>139</v>
      </c>
      <c r="B57" s="17">
        <v>56</v>
      </c>
      <c r="C57" s="17">
        <v>0</v>
      </c>
      <c r="D57" s="17">
        <v>56</v>
      </c>
      <c r="E57" s="17">
        <v>56</v>
      </c>
      <c r="F57" s="17">
        <v>60</v>
      </c>
      <c r="G57" s="18" t="str">
        <f>IF(AND(F67&lt;&gt;0,60&lt;&gt;0),IF(100*60/(F67-0)&lt;0.005,"*",100*60/(F67-0)),0)</f>
        <v>*</v>
      </c>
    </row>
    <row r="58" spans="1:7" ht="12.75">
      <c r="A58" s="11" t="s">
        <v>140</v>
      </c>
      <c r="B58" s="17">
        <v>272</v>
      </c>
      <c r="C58" s="17">
        <v>0</v>
      </c>
      <c r="D58" s="17">
        <v>273</v>
      </c>
      <c r="E58" s="17">
        <v>273</v>
      </c>
      <c r="F58" s="17">
        <v>290</v>
      </c>
      <c r="G58" s="18">
        <f>IF(AND(F67&lt;&gt;0,290&lt;&gt;0),IF(100*290/(F67-0)&lt;0.005,"*",100*290/(F67-0)),0)</f>
        <v>0.0145</v>
      </c>
    </row>
    <row r="59" spans="1:7" ht="12.75">
      <c r="A59" s="11" t="s">
        <v>141</v>
      </c>
      <c r="B59" s="17">
        <v>54</v>
      </c>
      <c r="C59" s="17">
        <v>0</v>
      </c>
      <c r="D59" s="17">
        <v>55</v>
      </c>
      <c r="E59" s="17">
        <v>55</v>
      </c>
      <c r="F59" s="17">
        <v>58</v>
      </c>
      <c r="G59" s="18" t="str">
        <f>IF(AND(F67&lt;&gt;0,58&lt;&gt;0),IF(100*58/(F67-0)&lt;0.005,"*",100*58/(F67-0)),0)</f>
        <v>*</v>
      </c>
    </row>
    <row r="60" spans="1:7" ht="12.75">
      <c r="A60" s="11" t="s">
        <v>142</v>
      </c>
      <c r="B60" s="17">
        <v>8151</v>
      </c>
      <c r="C60" s="17">
        <v>0</v>
      </c>
      <c r="D60" s="17">
        <v>8195</v>
      </c>
      <c r="E60" s="17">
        <v>8195</v>
      </c>
      <c r="F60" s="17">
        <v>8705</v>
      </c>
      <c r="G60" s="18">
        <f>IF(AND(F67&lt;&gt;0,8705&lt;&gt;0),IF(100*8705/(F67-0)&lt;0.005,"*",100*8705/(F67-0)),0)</f>
        <v>0.43525</v>
      </c>
    </row>
    <row r="61" spans="1:7" ht="12.75">
      <c r="A61" s="11" t="s">
        <v>143</v>
      </c>
      <c r="B61" s="17">
        <v>0</v>
      </c>
      <c r="C61" s="17">
        <v>0</v>
      </c>
      <c r="D61" s="17">
        <v>0</v>
      </c>
      <c r="E61" s="17">
        <v>0</v>
      </c>
      <c r="F61" s="17">
        <v>0</v>
      </c>
      <c r="G61" s="18">
        <f>IF(AND(F67&lt;&gt;0,0&lt;&gt;0),IF(100*0/(F67-0)&lt;0.005,"*",100*0/(F67-0)),0)</f>
        <v>0</v>
      </c>
    </row>
    <row r="62" spans="1:7" ht="12.75">
      <c r="A62" s="11" t="s">
        <v>144</v>
      </c>
      <c r="B62" s="17">
        <v>272</v>
      </c>
      <c r="C62" s="17">
        <v>0</v>
      </c>
      <c r="D62" s="17">
        <v>273</v>
      </c>
      <c r="E62" s="17">
        <v>273</v>
      </c>
      <c r="F62" s="17">
        <v>290</v>
      </c>
      <c r="G62" s="18">
        <f>IF(AND(F67&lt;&gt;0,290&lt;&gt;0),IF(100*290/(F67-0)&lt;0.005,"*",100*290/(F67-0)),0)</f>
        <v>0.0145</v>
      </c>
    </row>
    <row r="63" spans="1:7" ht="12.75">
      <c r="A63" s="11" t="s">
        <v>145</v>
      </c>
      <c r="B63" s="17">
        <v>0</v>
      </c>
      <c r="C63" s="17">
        <v>0</v>
      </c>
      <c r="D63" s="17">
        <v>0</v>
      </c>
      <c r="E63" s="17">
        <v>0</v>
      </c>
      <c r="F63" s="17">
        <v>0</v>
      </c>
      <c r="G63" s="18">
        <f>IF(AND(F67&lt;&gt;0,0&lt;&gt;0),IF(100*0/(F67-0)&lt;0.005,"*",100*0/(F67-0)),0)</f>
        <v>0</v>
      </c>
    </row>
    <row r="64" spans="1:7" ht="12.75">
      <c r="A64" s="11" t="s">
        <v>146</v>
      </c>
      <c r="B64" s="17">
        <v>0</v>
      </c>
      <c r="C64" s="17">
        <v>0</v>
      </c>
      <c r="D64" s="17">
        <v>0</v>
      </c>
      <c r="E64" s="17">
        <v>0</v>
      </c>
      <c r="F64" s="17">
        <v>0</v>
      </c>
      <c r="G64" s="18">
        <v>0</v>
      </c>
    </row>
    <row r="65" spans="1:7" ht="12.75">
      <c r="A65" s="11" t="s">
        <v>190</v>
      </c>
      <c r="B65" s="17">
        <v>0</v>
      </c>
      <c r="C65" s="17">
        <v>0</v>
      </c>
      <c r="D65" s="17">
        <v>0</v>
      </c>
      <c r="E65" s="17">
        <v>0</v>
      </c>
      <c r="F65" s="17">
        <v>17000</v>
      </c>
      <c r="G65" s="18">
        <f>IF(AND(F67&lt;&gt;0,17000&lt;&gt;0),IF(100*17000/(F67-0)&lt;0.005,"*",100*17000/(F67-0)),0)</f>
        <v>0.85</v>
      </c>
    </row>
    <row r="66" spans="1:7" ht="12.75">
      <c r="A66" s="11" t="s">
        <v>211</v>
      </c>
      <c r="B66" s="17">
        <v>0</v>
      </c>
      <c r="C66" s="17">
        <v>0</v>
      </c>
      <c r="D66" s="17">
        <v>0</v>
      </c>
      <c r="E66" s="17">
        <v>0</v>
      </c>
      <c r="F66" s="17">
        <v>300000</v>
      </c>
      <c r="G66" s="18">
        <f>IF(AND(F67&lt;&gt;0,300000&lt;&gt;0),IF(100*300000/(F67-0)&lt;0.005,"*",100*300000/(F67-0)),0)</f>
        <v>15</v>
      </c>
    </row>
    <row r="67" spans="1:7" ht="15" customHeight="1">
      <c r="A67" s="19" t="s">
        <v>87</v>
      </c>
      <c r="B67" s="20">
        <f>23961+3644+32849+14670+190020+26116+17826+4589+3205+96926+49533+6960+7992+63859+32573+15320+14346+21788+22929+6585+29390+33177+49054+26870+14828+29962+5032+9263+13831+6561+44115+10337+97413+48818+3586+57358+19088+19482+63322+5212+23670+4188+32201+131107+14380+3106+40948+34558+9192+28467+2888+56+272+54+8151+0+272+0+0+0+0+0+0+0+0+0</f>
        <v>1575900</v>
      </c>
      <c r="C67" s="20">
        <f>0+0+0+0+0+0+0+0+0+0+0+0+0+0+0+0+0+0+0+0+0+0+0+0+0+0+0+0+0+0+0+0+0+0+0+0+0+0+0+0+0+0+0+0+0+0+0+0+0+0+0+0+0+0+0+0+0+0+0+0+0+0+0+0+0+0</f>
        <v>0</v>
      </c>
      <c r="D67" s="20">
        <f>23962+3640+33263+14658+191732+26465+17772+4623+3256+98297+49893+7014+8076+63646+32597+15353+14349+21808+22975+6572+29531+33332+48967+26965+14794+29962+5058+9297+14029+6556+44166+10305+97571+49135+3654+57289+19162+19618+63185+5213+23878+4216+32362+133201+14542+3096+41142+34893+9143+28449+2886+56+273+55+8195+0+273+0+0+0+0+0+0+0+0+0</f>
        <v>1584400</v>
      </c>
      <c r="E67" s="20">
        <f>SUM(C67:D67)</f>
        <v>1584400</v>
      </c>
      <c r="F67" s="20">
        <f>25453+3867+35332+15570+203664+28112+18878+4911+3458+104415+52998+7451+8579+67607+34625+16308+15242+23165+24405+6981+31369+35405+52014+28643+15715+31826+5372+9876+14902+6964+46914+10947+103643+52193+3881+60855+20355+20839+67117+5538+25364+4478+34376+141490+15447+3289+43702+37064+9712+30220+3066+60+290+58+8705+0+290+0+0+0+0+0+0+17000+300000+0</f>
        <v>2000000</v>
      </c>
      <c r="G67" s="21" t="s">
        <v>147</v>
      </c>
    </row>
    <row r="68" spans="1:7" ht="15" customHeight="1">
      <c r="A68" s="33" t="s">
        <v>148</v>
      </c>
      <c r="B68" s="33"/>
      <c r="C68" s="33"/>
      <c r="D68" s="33"/>
      <c r="E68" s="33"/>
      <c r="F68" s="33"/>
      <c r="G68" s="33"/>
    </row>
    <row r="69" spans="1:7" ht="15" customHeight="1">
      <c r="A69" s="26" t="s">
        <v>149</v>
      </c>
      <c r="B69" s="26"/>
      <c r="C69" s="26"/>
      <c r="D69" s="26"/>
      <c r="E69" s="26"/>
      <c r="F69" s="26"/>
      <c r="G69" s="26"/>
    </row>
  </sheetData>
  <sheetProtection/>
  <mergeCells count="6">
    <mergeCell ref="A69:G69"/>
    <mergeCell ref="A4:A5"/>
    <mergeCell ref="B4:B5"/>
    <mergeCell ref="F4:F5"/>
    <mergeCell ref="G4:G5"/>
    <mergeCell ref="A68:G68"/>
  </mergeCells>
  <printOptions/>
  <pageMargins left="0.7" right="0.7" top="0.75" bottom="0.75" header="0.3" footer="0.3"/>
  <pageSetup fitToHeight="1" fitToWidth="1"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212</v>
      </c>
      <c r="B1" s="10"/>
      <c r="C1" s="10"/>
      <c r="D1" s="10"/>
      <c r="E1" s="10"/>
      <c r="F1" s="10"/>
      <c r="G1" s="12" t="s">
        <v>213</v>
      </c>
    </row>
    <row r="2" spans="1:7" ht="12.75">
      <c r="A2" s="13" t="s">
        <v>214</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20277</v>
      </c>
      <c r="C6" s="17">
        <v>0</v>
      </c>
      <c r="D6" s="17">
        <v>0</v>
      </c>
      <c r="E6" s="17">
        <v>0</v>
      </c>
      <c r="F6" s="17">
        <v>0</v>
      </c>
      <c r="G6" s="18">
        <f>IF(AND(F65&lt;&gt;1315005,0&lt;&gt;0),IF(100*0/(F65-1315005)&lt;0.005,"*",100*0/(F65-1315005)),0)</f>
        <v>0</v>
      </c>
    </row>
    <row r="7" spans="1:7" ht="12.75">
      <c r="A7" s="11" t="s">
        <v>89</v>
      </c>
      <c r="B7" s="17">
        <v>1757</v>
      </c>
      <c r="C7" s="17">
        <v>0</v>
      </c>
      <c r="D7" s="17">
        <v>0</v>
      </c>
      <c r="E7" s="17">
        <v>0</v>
      </c>
      <c r="F7" s="17">
        <v>0</v>
      </c>
      <c r="G7" s="18">
        <f>IF(AND(F65&lt;&gt;1315005,0&lt;&gt;0),IF(100*0/(F65-1315005)&lt;0.005,"*",100*0/(F65-1315005)),0)</f>
        <v>0</v>
      </c>
    </row>
    <row r="8" spans="1:7" ht="12.75">
      <c r="A8" s="11" t="s">
        <v>90</v>
      </c>
      <c r="B8" s="17">
        <v>14820</v>
      </c>
      <c r="C8" s="17">
        <v>0</v>
      </c>
      <c r="D8" s="17">
        <v>0</v>
      </c>
      <c r="E8" s="17">
        <v>0</v>
      </c>
      <c r="F8" s="17">
        <v>0</v>
      </c>
      <c r="G8" s="18">
        <f>IF(AND(F65&lt;&gt;1315005,0&lt;&gt;0),IF(100*0/(F65-1315005)&lt;0.005,"*",100*0/(F65-1315005)),0)</f>
        <v>0</v>
      </c>
    </row>
    <row r="9" spans="1:7" ht="12.75">
      <c r="A9" s="11" t="s">
        <v>91</v>
      </c>
      <c r="B9" s="17">
        <v>8402</v>
      </c>
      <c r="C9" s="17">
        <v>0</v>
      </c>
      <c r="D9" s="17">
        <v>0</v>
      </c>
      <c r="E9" s="17">
        <v>0</v>
      </c>
      <c r="F9" s="17">
        <v>0</v>
      </c>
      <c r="G9" s="18">
        <f>IF(AND(F65&lt;&gt;1315005,0&lt;&gt;0),IF(100*0/(F65-1315005)&lt;0.005,"*",100*0/(F65-1315005)),0)</f>
        <v>0</v>
      </c>
    </row>
    <row r="10" spans="1:7" ht="12.75">
      <c r="A10" s="11" t="s">
        <v>92</v>
      </c>
      <c r="B10" s="17">
        <v>148708</v>
      </c>
      <c r="C10" s="17">
        <v>0</v>
      </c>
      <c r="D10" s="17">
        <v>0</v>
      </c>
      <c r="E10" s="17">
        <v>0</v>
      </c>
      <c r="F10" s="17">
        <v>0</v>
      </c>
      <c r="G10" s="18">
        <f>IF(AND(F65&lt;&gt;1315005,0&lt;&gt;0),IF(100*0/(F65-1315005)&lt;0.005,"*",100*0/(F65-1315005)),0)</f>
        <v>0</v>
      </c>
    </row>
    <row r="11" spans="1:7" ht="12.75">
      <c r="A11" s="11" t="s">
        <v>93</v>
      </c>
      <c r="B11" s="17">
        <v>13080</v>
      </c>
      <c r="C11" s="17">
        <v>0</v>
      </c>
      <c r="D11" s="17">
        <v>0</v>
      </c>
      <c r="E11" s="17">
        <v>0</v>
      </c>
      <c r="F11" s="17">
        <v>0</v>
      </c>
      <c r="G11" s="18">
        <f>IF(AND(F65&lt;&gt;1315005,0&lt;&gt;0),IF(100*0/(F65-1315005)&lt;0.005,"*",100*0/(F65-1315005)),0)</f>
        <v>0</v>
      </c>
    </row>
    <row r="12" spans="1:7" ht="12.75">
      <c r="A12" s="11" t="s">
        <v>94</v>
      </c>
      <c r="B12" s="17">
        <v>11869</v>
      </c>
      <c r="C12" s="17">
        <v>0</v>
      </c>
      <c r="D12" s="17">
        <v>0</v>
      </c>
      <c r="E12" s="17">
        <v>0</v>
      </c>
      <c r="F12" s="17">
        <v>0</v>
      </c>
      <c r="G12" s="18">
        <f>IF(AND(F65&lt;&gt;1315005,0&lt;&gt;0),IF(100*0/(F65-1315005)&lt;0.005,"*",100*0/(F65-1315005)),0)</f>
        <v>0</v>
      </c>
    </row>
    <row r="13" spans="1:7" ht="12.75">
      <c r="A13" s="11" t="s">
        <v>95</v>
      </c>
      <c r="B13" s="17">
        <v>4975</v>
      </c>
      <c r="C13" s="17">
        <v>0</v>
      </c>
      <c r="D13" s="17">
        <v>0</v>
      </c>
      <c r="E13" s="17">
        <v>0</v>
      </c>
      <c r="F13" s="17">
        <v>0</v>
      </c>
      <c r="G13" s="18">
        <f>IF(AND(F65&lt;&gt;1315005,0&lt;&gt;0),IF(100*0/(F65-1315005)&lt;0.005,"*",100*0/(F65-1315005)),0)</f>
        <v>0</v>
      </c>
    </row>
    <row r="14" spans="1:7" ht="12.75">
      <c r="A14" s="11" t="s">
        <v>96</v>
      </c>
      <c r="B14" s="17">
        <v>17093</v>
      </c>
      <c r="C14" s="17">
        <v>0</v>
      </c>
      <c r="D14" s="17">
        <v>0</v>
      </c>
      <c r="E14" s="17">
        <v>0</v>
      </c>
      <c r="F14" s="17">
        <v>0</v>
      </c>
      <c r="G14" s="18">
        <f>IF(AND(F65&lt;&gt;1315005,0&lt;&gt;0),IF(100*0/(F65-1315005)&lt;0.005,"*",100*0/(F65-1315005)),0)</f>
        <v>0</v>
      </c>
    </row>
    <row r="15" spans="1:7" ht="12.75">
      <c r="A15" s="11" t="s">
        <v>97</v>
      </c>
      <c r="B15" s="17">
        <v>130836</v>
      </c>
      <c r="C15" s="17">
        <v>0</v>
      </c>
      <c r="D15" s="17">
        <v>0</v>
      </c>
      <c r="E15" s="17">
        <v>0</v>
      </c>
      <c r="F15" s="17">
        <v>0</v>
      </c>
      <c r="G15" s="18">
        <f>IF(AND(F65&lt;&gt;1315005,0&lt;&gt;0),IF(100*0/(F65-1315005)&lt;0.005,"*",100*0/(F65-1315005)),0)</f>
        <v>0</v>
      </c>
    </row>
    <row r="16" spans="1:7" ht="12.75">
      <c r="A16" s="11" t="s">
        <v>98</v>
      </c>
      <c r="B16" s="17">
        <v>71143</v>
      </c>
      <c r="C16" s="17">
        <v>0</v>
      </c>
      <c r="D16" s="17">
        <v>0</v>
      </c>
      <c r="E16" s="17">
        <v>0</v>
      </c>
      <c r="F16" s="17">
        <v>0</v>
      </c>
      <c r="G16" s="18">
        <f>IF(AND(F65&lt;&gt;1315005,0&lt;&gt;0),IF(100*0/(F65-1315005)&lt;0.005,"*",100*0/(F65-1315005)),0)</f>
        <v>0</v>
      </c>
    </row>
    <row r="17" spans="1:7" ht="12.75">
      <c r="A17" s="11" t="s">
        <v>99</v>
      </c>
      <c r="B17" s="17">
        <v>3641</v>
      </c>
      <c r="C17" s="17">
        <v>0</v>
      </c>
      <c r="D17" s="17">
        <v>0</v>
      </c>
      <c r="E17" s="17">
        <v>0</v>
      </c>
      <c r="F17" s="17">
        <v>0</v>
      </c>
      <c r="G17" s="18">
        <f>IF(AND(F65&lt;&gt;1315005,0&lt;&gt;0),IF(100*0/(F65-1315005)&lt;0.005,"*",100*0/(F65-1315005)),0)</f>
        <v>0</v>
      </c>
    </row>
    <row r="18" spans="1:7" ht="12.75">
      <c r="A18" s="11" t="s">
        <v>100</v>
      </c>
      <c r="B18" s="17">
        <v>2014</v>
      </c>
      <c r="C18" s="17">
        <v>0</v>
      </c>
      <c r="D18" s="17">
        <v>0</v>
      </c>
      <c r="E18" s="17">
        <v>0</v>
      </c>
      <c r="F18" s="17">
        <v>0</v>
      </c>
      <c r="G18" s="18">
        <f>IF(AND(F65&lt;&gt;1315005,0&lt;&gt;0),IF(100*0/(F65-1315005)&lt;0.005,"*",100*0/(F65-1315005)),0)</f>
        <v>0</v>
      </c>
    </row>
    <row r="19" spans="1:7" ht="12.75">
      <c r="A19" s="11" t="s">
        <v>101</v>
      </c>
      <c r="B19" s="17">
        <v>45897</v>
      </c>
      <c r="C19" s="17">
        <v>0</v>
      </c>
      <c r="D19" s="17">
        <v>0</v>
      </c>
      <c r="E19" s="17">
        <v>0</v>
      </c>
      <c r="F19" s="17">
        <v>0</v>
      </c>
      <c r="G19" s="18">
        <f>IF(AND(F65&lt;&gt;1315005,0&lt;&gt;0),IF(100*0/(F65-1315005)&lt;0.005,"*",100*0/(F65-1315005)),0)</f>
        <v>0</v>
      </c>
    </row>
    <row r="20" spans="1:7" ht="12.75">
      <c r="A20" s="11" t="s">
        <v>102</v>
      </c>
      <c r="B20" s="17">
        <v>13706</v>
      </c>
      <c r="C20" s="17">
        <v>0</v>
      </c>
      <c r="D20" s="17">
        <v>0</v>
      </c>
      <c r="E20" s="17">
        <v>0</v>
      </c>
      <c r="F20" s="17">
        <v>0</v>
      </c>
      <c r="G20" s="18">
        <f>IF(AND(F65&lt;&gt;1315005,0&lt;&gt;0),IF(100*0/(F65-1315005)&lt;0.005,"*",100*0/(F65-1315005)),0)</f>
        <v>0</v>
      </c>
    </row>
    <row r="21" spans="1:7" ht="12.75">
      <c r="A21" s="11" t="s">
        <v>103</v>
      </c>
      <c r="B21" s="17">
        <v>3340</v>
      </c>
      <c r="C21" s="17">
        <v>0</v>
      </c>
      <c r="D21" s="17">
        <v>0</v>
      </c>
      <c r="E21" s="17">
        <v>0</v>
      </c>
      <c r="F21" s="17">
        <v>0</v>
      </c>
      <c r="G21" s="18">
        <f>IF(AND(F65&lt;&gt;1315005,0&lt;&gt;0),IF(100*0/(F65-1315005)&lt;0.005,"*",100*0/(F65-1315005)),0)</f>
        <v>0</v>
      </c>
    </row>
    <row r="22" spans="1:7" ht="12.75">
      <c r="A22" s="11" t="s">
        <v>104</v>
      </c>
      <c r="B22" s="17">
        <v>3633</v>
      </c>
      <c r="C22" s="17">
        <v>0</v>
      </c>
      <c r="D22" s="17">
        <v>0</v>
      </c>
      <c r="E22" s="17">
        <v>0</v>
      </c>
      <c r="F22" s="17">
        <v>0</v>
      </c>
      <c r="G22" s="18">
        <f>IF(AND(F65&lt;&gt;1315005,0&lt;&gt;0),IF(100*0/(F65-1315005)&lt;0.005,"*",100*0/(F65-1315005)),0)</f>
        <v>0</v>
      </c>
    </row>
    <row r="23" spans="1:7" ht="12.75">
      <c r="A23" s="11" t="s">
        <v>105</v>
      </c>
      <c r="B23" s="17">
        <v>9166</v>
      </c>
      <c r="C23" s="17">
        <v>0</v>
      </c>
      <c r="D23" s="17">
        <v>0</v>
      </c>
      <c r="E23" s="17">
        <v>0</v>
      </c>
      <c r="F23" s="17">
        <v>0</v>
      </c>
      <c r="G23" s="18">
        <f>IF(AND(F65&lt;&gt;1315005,0&lt;&gt;0),IF(100*0/(F65-1315005)&lt;0.005,"*",100*0/(F65-1315005)),0)</f>
        <v>0</v>
      </c>
    </row>
    <row r="24" spans="1:7" ht="12.75">
      <c r="A24" s="11" t="s">
        <v>106</v>
      </c>
      <c r="B24" s="17">
        <v>30463</v>
      </c>
      <c r="C24" s="17">
        <v>0</v>
      </c>
      <c r="D24" s="17">
        <v>0</v>
      </c>
      <c r="E24" s="17">
        <v>0</v>
      </c>
      <c r="F24" s="17">
        <v>0</v>
      </c>
      <c r="G24" s="18">
        <f>IF(AND(F65&lt;&gt;1315005,0&lt;&gt;0),IF(100*0/(F65-1315005)&lt;0.005,"*",100*0/(F65-1315005)),0)</f>
        <v>0</v>
      </c>
    </row>
    <row r="25" spans="1:7" ht="12.75">
      <c r="A25" s="11" t="s">
        <v>107</v>
      </c>
      <c r="B25" s="17">
        <v>1826</v>
      </c>
      <c r="C25" s="17">
        <v>0</v>
      </c>
      <c r="D25" s="17">
        <v>0</v>
      </c>
      <c r="E25" s="17">
        <v>0</v>
      </c>
      <c r="F25" s="17">
        <v>0</v>
      </c>
      <c r="G25" s="18">
        <f>IF(AND(F65&lt;&gt;1315005,0&lt;&gt;0),IF(100*0/(F65-1315005)&lt;0.005,"*",100*0/(F65-1315005)),0)</f>
        <v>0</v>
      </c>
    </row>
    <row r="26" spans="1:7" ht="12.75">
      <c r="A26" s="11" t="s">
        <v>108</v>
      </c>
      <c r="B26" s="17">
        <v>32665</v>
      </c>
      <c r="C26" s="17">
        <v>0</v>
      </c>
      <c r="D26" s="17">
        <v>0</v>
      </c>
      <c r="E26" s="17">
        <v>0</v>
      </c>
      <c r="F26" s="17">
        <v>0</v>
      </c>
      <c r="G26" s="18">
        <f>IF(AND(F65&lt;&gt;1315005,0&lt;&gt;0),IF(100*0/(F65-1315005)&lt;0.005,"*",100*0/(F65-1315005)),0)</f>
        <v>0</v>
      </c>
    </row>
    <row r="27" spans="1:7" ht="12.75">
      <c r="A27" s="11" t="s">
        <v>109</v>
      </c>
      <c r="B27" s="17">
        <v>19054</v>
      </c>
      <c r="C27" s="17">
        <v>0</v>
      </c>
      <c r="D27" s="17">
        <v>0</v>
      </c>
      <c r="E27" s="17">
        <v>0</v>
      </c>
      <c r="F27" s="17">
        <v>0</v>
      </c>
      <c r="G27" s="18">
        <f>IF(AND(F65&lt;&gt;1315005,0&lt;&gt;0),IF(100*0/(F65-1315005)&lt;0.005,"*",100*0/(F65-1315005)),0)</f>
        <v>0</v>
      </c>
    </row>
    <row r="28" spans="1:7" ht="12.75">
      <c r="A28" s="11" t="s">
        <v>110</v>
      </c>
      <c r="B28" s="17">
        <v>17675</v>
      </c>
      <c r="C28" s="17">
        <v>0</v>
      </c>
      <c r="D28" s="17">
        <v>0</v>
      </c>
      <c r="E28" s="17">
        <v>0</v>
      </c>
      <c r="F28" s="17">
        <v>0</v>
      </c>
      <c r="G28" s="18">
        <f>IF(AND(F65&lt;&gt;1315005,0&lt;&gt;0),IF(100*0/(F65-1315005)&lt;0.005,"*",100*0/(F65-1315005)),0)</f>
        <v>0</v>
      </c>
    </row>
    <row r="29" spans="1:7" ht="12.75">
      <c r="A29" s="11" t="s">
        <v>111</v>
      </c>
      <c r="B29" s="17">
        <v>8688</v>
      </c>
      <c r="C29" s="17">
        <v>0</v>
      </c>
      <c r="D29" s="17">
        <v>0</v>
      </c>
      <c r="E29" s="17">
        <v>0</v>
      </c>
      <c r="F29" s="17">
        <v>0</v>
      </c>
      <c r="G29" s="18">
        <f>IF(AND(F65&lt;&gt;1315005,0&lt;&gt;0),IF(100*0/(F65-1315005)&lt;0.005,"*",100*0/(F65-1315005)),0)</f>
        <v>0</v>
      </c>
    </row>
    <row r="30" spans="1:7" ht="12.75">
      <c r="A30" s="11" t="s">
        <v>112</v>
      </c>
      <c r="B30" s="17">
        <v>14867</v>
      </c>
      <c r="C30" s="17">
        <v>0</v>
      </c>
      <c r="D30" s="17">
        <v>0</v>
      </c>
      <c r="E30" s="17">
        <v>0</v>
      </c>
      <c r="F30" s="17">
        <v>0</v>
      </c>
      <c r="G30" s="18">
        <f>IF(AND(F65&lt;&gt;1315005,0&lt;&gt;0),IF(100*0/(F65-1315005)&lt;0.005,"*",100*0/(F65-1315005)),0)</f>
        <v>0</v>
      </c>
    </row>
    <row r="31" spans="1:7" ht="12.75">
      <c r="A31" s="11" t="s">
        <v>113</v>
      </c>
      <c r="B31" s="17">
        <v>13361</v>
      </c>
      <c r="C31" s="17">
        <v>0</v>
      </c>
      <c r="D31" s="17">
        <v>0</v>
      </c>
      <c r="E31" s="17">
        <v>0</v>
      </c>
      <c r="F31" s="17">
        <v>0</v>
      </c>
      <c r="G31" s="18">
        <f>IF(AND(F65&lt;&gt;1315005,0&lt;&gt;0),IF(100*0/(F65-1315005)&lt;0.005,"*",100*0/(F65-1315005)),0)</f>
        <v>0</v>
      </c>
    </row>
    <row r="32" spans="1:7" ht="12.75">
      <c r="A32" s="11" t="s">
        <v>114</v>
      </c>
      <c r="B32" s="17">
        <v>946</v>
      </c>
      <c r="C32" s="17">
        <v>0</v>
      </c>
      <c r="D32" s="17">
        <v>0</v>
      </c>
      <c r="E32" s="17">
        <v>0</v>
      </c>
      <c r="F32" s="17">
        <v>0</v>
      </c>
      <c r="G32" s="18">
        <f>IF(AND(F65&lt;&gt;1315005,0&lt;&gt;0),IF(100*0/(F65-1315005)&lt;0.005,"*",100*0/(F65-1315005)),0)</f>
        <v>0</v>
      </c>
    </row>
    <row r="33" spans="1:7" ht="12.75">
      <c r="A33" s="11" t="s">
        <v>115</v>
      </c>
      <c r="B33" s="17">
        <v>3201</v>
      </c>
      <c r="C33" s="17">
        <v>0</v>
      </c>
      <c r="D33" s="17">
        <v>0</v>
      </c>
      <c r="E33" s="17">
        <v>0</v>
      </c>
      <c r="F33" s="17">
        <v>0</v>
      </c>
      <c r="G33" s="18">
        <f>IF(AND(F65&lt;&gt;1315005,0&lt;&gt;0),IF(100*0/(F65-1315005)&lt;0.005,"*",100*0/(F65-1315005)),0)</f>
        <v>0</v>
      </c>
    </row>
    <row r="34" spans="1:7" ht="12.75">
      <c r="A34" s="11" t="s">
        <v>116</v>
      </c>
      <c r="B34" s="17">
        <v>8189</v>
      </c>
      <c r="C34" s="17">
        <v>0</v>
      </c>
      <c r="D34" s="17">
        <v>0</v>
      </c>
      <c r="E34" s="17">
        <v>0</v>
      </c>
      <c r="F34" s="17">
        <v>0</v>
      </c>
      <c r="G34" s="18">
        <f>IF(AND(F65&lt;&gt;1315005,0&lt;&gt;0),IF(100*0/(F65-1315005)&lt;0.005,"*",100*0/(F65-1315005)),0)</f>
        <v>0</v>
      </c>
    </row>
    <row r="35" spans="1:7" ht="12.75">
      <c r="A35" s="11" t="s">
        <v>117</v>
      </c>
      <c r="B35" s="17">
        <v>1444</v>
      </c>
      <c r="C35" s="17">
        <v>0</v>
      </c>
      <c r="D35" s="17">
        <v>0</v>
      </c>
      <c r="E35" s="17">
        <v>0</v>
      </c>
      <c r="F35" s="17">
        <v>0</v>
      </c>
      <c r="G35" s="18">
        <f>IF(AND(F65&lt;&gt;1315005,0&lt;&gt;0),IF(100*0/(F65-1315005)&lt;0.005,"*",100*0/(F65-1315005)),0)</f>
        <v>0</v>
      </c>
    </row>
    <row r="36" spans="1:7" ht="12.75">
      <c r="A36" s="11" t="s">
        <v>118</v>
      </c>
      <c r="B36" s="17">
        <v>47281</v>
      </c>
      <c r="C36" s="17">
        <v>0</v>
      </c>
      <c r="D36" s="17">
        <v>0</v>
      </c>
      <c r="E36" s="17">
        <v>0</v>
      </c>
      <c r="F36" s="17">
        <v>0</v>
      </c>
      <c r="G36" s="18">
        <f>IF(AND(F65&lt;&gt;1315005,0&lt;&gt;0),IF(100*0/(F65-1315005)&lt;0.005,"*",100*0/(F65-1315005)),0)</f>
        <v>0</v>
      </c>
    </row>
    <row r="37" spans="1:7" ht="12.75">
      <c r="A37" s="11" t="s">
        <v>119</v>
      </c>
      <c r="B37" s="17">
        <v>4114</v>
      </c>
      <c r="C37" s="17">
        <v>0</v>
      </c>
      <c r="D37" s="17">
        <v>0</v>
      </c>
      <c r="E37" s="17">
        <v>0</v>
      </c>
      <c r="F37" s="17">
        <v>0</v>
      </c>
      <c r="G37" s="18">
        <f>IF(AND(F65&lt;&gt;1315005,0&lt;&gt;0),IF(100*0/(F65-1315005)&lt;0.005,"*",100*0/(F65-1315005)),0)</f>
        <v>0</v>
      </c>
    </row>
    <row r="38" spans="1:7" ht="12.75">
      <c r="A38" s="11" t="s">
        <v>120</v>
      </c>
      <c r="B38" s="17">
        <v>170004</v>
      </c>
      <c r="C38" s="17">
        <v>0</v>
      </c>
      <c r="D38" s="17">
        <v>0</v>
      </c>
      <c r="E38" s="17">
        <v>0</v>
      </c>
      <c r="F38" s="17">
        <v>0</v>
      </c>
      <c r="G38" s="18">
        <f>IF(AND(F65&lt;&gt;1315005,0&lt;&gt;0),IF(100*0/(F65-1315005)&lt;0.005,"*",100*0/(F65-1315005)),0)</f>
        <v>0</v>
      </c>
    </row>
    <row r="39" spans="1:7" ht="12.75">
      <c r="A39" s="11" t="s">
        <v>121</v>
      </c>
      <c r="B39" s="17">
        <v>40729</v>
      </c>
      <c r="C39" s="17">
        <v>0</v>
      </c>
      <c r="D39" s="17">
        <v>0</v>
      </c>
      <c r="E39" s="17">
        <v>0</v>
      </c>
      <c r="F39" s="17">
        <v>0</v>
      </c>
      <c r="G39" s="18">
        <f>IF(AND(F65&lt;&gt;1315005,0&lt;&gt;0),IF(100*0/(F65-1315005)&lt;0.005,"*",100*0/(F65-1315005)),0)</f>
        <v>0</v>
      </c>
    </row>
    <row r="40" spans="1:7" ht="12.75">
      <c r="A40" s="11" t="s">
        <v>122</v>
      </c>
      <c r="B40" s="17">
        <v>730</v>
      </c>
      <c r="C40" s="17">
        <v>0</v>
      </c>
      <c r="D40" s="17">
        <v>0</v>
      </c>
      <c r="E40" s="17">
        <v>0</v>
      </c>
      <c r="F40" s="17">
        <v>0</v>
      </c>
      <c r="G40" s="18">
        <f>IF(AND(F65&lt;&gt;1315005,0&lt;&gt;0),IF(100*0/(F65-1315005)&lt;0.005,"*",100*0/(F65-1315005)),0)</f>
        <v>0</v>
      </c>
    </row>
    <row r="41" spans="1:7" ht="12.75">
      <c r="A41" s="11" t="s">
        <v>123</v>
      </c>
      <c r="B41" s="17">
        <v>23137</v>
      </c>
      <c r="C41" s="17">
        <v>0</v>
      </c>
      <c r="D41" s="17">
        <v>0</v>
      </c>
      <c r="E41" s="17">
        <v>0</v>
      </c>
      <c r="F41" s="17">
        <v>0</v>
      </c>
      <c r="G41" s="18">
        <f>IF(AND(F65&lt;&gt;1315005,0&lt;&gt;0),IF(100*0/(F65-1315005)&lt;0.005,"*",100*0/(F65-1315005)),0)</f>
        <v>0</v>
      </c>
    </row>
    <row r="42" spans="1:7" ht="12.75">
      <c r="A42" s="11" t="s">
        <v>124</v>
      </c>
      <c r="B42" s="17">
        <v>8263</v>
      </c>
      <c r="C42" s="17">
        <v>0</v>
      </c>
      <c r="D42" s="17">
        <v>0</v>
      </c>
      <c r="E42" s="17">
        <v>0</v>
      </c>
      <c r="F42" s="17">
        <v>0</v>
      </c>
      <c r="G42" s="18">
        <f>IF(AND(F65&lt;&gt;1315005,0&lt;&gt;0),IF(100*0/(F65-1315005)&lt;0.005,"*",100*0/(F65-1315005)),0)</f>
        <v>0</v>
      </c>
    </row>
    <row r="43" spans="1:7" ht="12.75">
      <c r="A43" s="11" t="s">
        <v>125</v>
      </c>
      <c r="B43" s="17">
        <v>6503</v>
      </c>
      <c r="C43" s="17">
        <v>0</v>
      </c>
      <c r="D43" s="17">
        <v>0</v>
      </c>
      <c r="E43" s="17">
        <v>0</v>
      </c>
      <c r="F43" s="17">
        <v>0</v>
      </c>
      <c r="G43" s="18">
        <f>IF(AND(F65&lt;&gt;1315005,0&lt;&gt;0),IF(100*0/(F65-1315005)&lt;0.005,"*",100*0/(F65-1315005)),0)</f>
        <v>0</v>
      </c>
    </row>
    <row r="44" spans="1:7" ht="12.75">
      <c r="A44" s="11" t="s">
        <v>126</v>
      </c>
      <c r="B44" s="17">
        <v>39015</v>
      </c>
      <c r="C44" s="17">
        <v>0</v>
      </c>
      <c r="D44" s="17">
        <v>0</v>
      </c>
      <c r="E44" s="17">
        <v>0</v>
      </c>
      <c r="F44" s="17">
        <v>0</v>
      </c>
      <c r="G44" s="18">
        <f>IF(AND(F65&lt;&gt;1315005,0&lt;&gt;0),IF(100*0/(F65-1315005)&lt;0.005,"*",100*0/(F65-1315005)),0)</f>
        <v>0</v>
      </c>
    </row>
    <row r="45" spans="1:7" ht="12.75">
      <c r="A45" s="11" t="s">
        <v>127</v>
      </c>
      <c r="B45" s="17">
        <v>3799</v>
      </c>
      <c r="C45" s="17">
        <v>0</v>
      </c>
      <c r="D45" s="17">
        <v>0</v>
      </c>
      <c r="E45" s="17">
        <v>0</v>
      </c>
      <c r="F45" s="17">
        <v>0</v>
      </c>
      <c r="G45" s="18">
        <f>IF(AND(F65&lt;&gt;1315005,0&lt;&gt;0),IF(100*0/(F65-1315005)&lt;0.005,"*",100*0/(F65-1315005)),0)</f>
        <v>0</v>
      </c>
    </row>
    <row r="46" spans="1:7" ht="12.75">
      <c r="A46" s="11" t="s">
        <v>128</v>
      </c>
      <c r="B46" s="17">
        <v>25502</v>
      </c>
      <c r="C46" s="17">
        <v>0</v>
      </c>
      <c r="D46" s="17">
        <v>0</v>
      </c>
      <c r="E46" s="17">
        <v>0</v>
      </c>
      <c r="F46" s="17">
        <v>0</v>
      </c>
      <c r="G46" s="18">
        <f>IF(AND(F65&lt;&gt;1315005,0&lt;&gt;0),IF(100*0/(F65-1315005)&lt;0.005,"*",100*0/(F65-1315005)),0)</f>
        <v>0</v>
      </c>
    </row>
    <row r="47" spans="1:7" ht="12.75">
      <c r="A47" s="11" t="s">
        <v>129</v>
      </c>
      <c r="B47" s="17">
        <v>890</v>
      </c>
      <c r="C47" s="17">
        <v>0</v>
      </c>
      <c r="D47" s="17">
        <v>0</v>
      </c>
      <c r="E47" s="17">
        <v>0</v>
      </c>
      <c r="F47" s="17">
        <v>0</v>
      </c>
      <c r="G47" s="18">
        <f>IF(AND(F65&lt;&gt;1315005,0&lt;&gt;0),IF(100*0/(F65-1315005)&lt;0.005,"*",100*0/(F65-1315005)),0)</f>
        <v>0</v>
      </c>
    </row>
    <row r="48" spans="1:7" ht="12.75">
      <c r="A48" s="11" t="s">
        <v>130</v>
      </c>
      <c r="B48" s="17">
        <v>29671</v>
      </c>
      <c r="C48" s="17">
        <v>0</v>
      </c>
      <c r="D48" s="17">
        <v>0</v>
      </c>
      <c r="E48" s="17">
        <v>0</v>
      </c>
      <c r="F48" s="17">
        <v>0</v>
      </c>
      <c r="G48" s="18">
        <f>IF(AND(F65&lt;&gt;1315005,0&lt;&gt;0),IF(100*0/(F65-1315005)&lt;0.005,"*",100*0/(F65-1315005)),0)</f>
        <v>0</v>
      </c>
    </row>
    <row r="49" spans="1:7" ht="12.75">
      <c r="A49" s="11" t="s">
        <v>131</v>
      </c>
      <c r="B49" s="17">
        <v>105184</v>
      </c>
      <c r="C49" s="17">
        <v>0</v>
      </c>
      <c r="D49" s="17">
        <v>0</v>
      </c>
      <c r="E49" s="17">
        <v>0</v>
      </c>
      <c r="F49" s="17">
        <v>0</v>
      </c>
      <c r="G49" s="18">
        <f>IF(AND(F65&lt;&gt;1315005,0&lt;&gt;0),IF(100*0/(F65-1315005)&lt;0.005,"*",100*0/(F65-1315005)),0)</f>
        <v>0</v>
      </c>
    </row>
    <row r="50" spans="1:7" ht="12.75">
      <c r="A50" s="11" t="s">
        <v>132</v>
      </c>
      <c r="B50" s="17">
        <v>5193</v>
      </c>
      <c r="C50" s="17">
        <v>0</v>
      </c>
      <c r="D50" s="17">
        <v>0</v>
      </c>
      <c r="E50" s="17">
        <v>0</v>
      </c>
      <c r="F50" s="17">
        <v>0</v>
      </c>
      <c r="G50" s="18">
        <f>IF(AND(F65&lt;&gt;1315005,0&lt;&gt;0),IF(100*0/(F65-1315005)&lt;0.005,"*",100*0/(F65-1315005)),0)</f>
        <v>0</v>
      </c>
    </row>
    <row r="51" spans="1:7" ht="12.75">
      <c r="A51" s="11" t="s">
        <v>133</v>
      </c>
      <c r="B51" s="17">
        <v>873</v>
      </c>
      <c r="C51" s="17">
        <v>0</v>
      </c>
      <c r="D51" s="17">
        <v>0</v>
      </c>
      <c r="E51" s="17">
        <v>0</v>
      </c>
      <c r="F51" s="17">
        <v>0</v>
      </c>
      <c r="G51" s="18">
        <f>IF(AND(F65&lt;&gt;1315005,0&lt;&gt;0),IF(100*0/(F65-1315005)&lt;0.005,"*",100*0/(F65-1315005)),0)</f>
        <v>0</v>
      </c>
    </row>
    <row r="52" spans="1:7" ht="12.75">
      <c r="A52" s="11" t="s">
        <v>134</v>
      </c>
      <c r="B52" s="17">
        <v>35939</v>
      </c>
      <c r="C52" s="17">
        <v>0</v>
      </c>
      <c r="D52" s="17">
        <v>0</v>
      </c>
      <c r="E52" s="17">
        <v>0</v>
      </c>
      <c r="F52" s="17">
        <v>0</v>
      </c>
      <c r="G52" s="18">
        <f>IF(AND(F65&lt;&gt;1315005,0&lt;&gt;0),IF(100*0/(F65-1315005)&lt;0.005,"*",100*0/(F65-1315005)),0)</f>
        <v>0</v>
      </c>
    </row>
    <row r="53" spans="1:7" ht="12.75">
      <c r="A53" s="11" t="s">
        <v>135</v>
      </c>
      <c r="B53" s="17">
        <v>13296</v>
      </c>
      <c r="C53" s="17">
        <v>0</v>
      </c>
      <c r="D53" s="17">
        <v>0</v>
      </c>
      <c r="E53" s="17">
        <v>0</v>
      </c>
      <c r="F53" s="17">
        <v>0</v>
      </c>
      <c r="G53" s="18">
        <f>IF(AND(F65&lt;&gt;1315005,0&lt;&gt;0),IF(100*0/(F65-1315005)&lt;0.005,"*",100*0/(F65-1315005)),0)</f>
        <v>0</v>
      </c>
    </row>
    <row r="54" spans="1:7" ht="12.75">
      <c r="A54" s="11" t="s">
        <v>136</v>
      </c>
      <c r="B54" s="17">
        <v>2394</v>
      </c>
      <c r="C54" s="17">
        <v>0</v>
      </c>
      <c r="D54" s="17">
        <v>0</v>
      </c>
      <c r="E54" s="17">
        <v>0</v>
      </c>
      <c r="F54" s="17">
        <v>0</v>
      </c>
      <c r="G54" s="18">
        <f>IF(AND(F65&lt;&gt;1315005,0&lt;&gt;0),IF(100*0/(F65-1315005)&lt;0.005,"*",100*0/(F65-1315005)),0)</f>
        <v>0</v>
      </c>
    </row>
    <row r="55" spans="1:7" ht="12.75">
      <c r="A55" s="11" t="s">
        <v>137</v>
      </c>
      <c r="B55" s="17">
        <v>8754</v>
      </c>
      <c r="C55" s="17">
        <v>0</v>
      </c>
      <c r="D55" s="17">
        <v>0</v>
      </c>
      <c r="E55" s="17">
        <v>0</v>
      </c>
      <c r="F55" s="17">
        <v>0</v>
      </c>
      <c r="G55" s="18">
        <f>IF(AND(F65&lt;&gt;1315005,0&lt;&gt;0),IF(100*0/(F65-1315005)&lt;0.005,"*",100*0/(F65-1315005)),0)</f>
        <v>0</v>
      </c>
    </row>
    <row r="56" spans="1:7" ht="12.75">
      <c r="A56" s="11" t="s">
        <v>138</v>
      </c>
      <c r="B56" s="17">
        <v>726</v>
      </c>
      <c r="C56" s="17">
        <v>0</v>
      </c>
      <c r="D56" s="17">
        <v>0</v>
      </c>
      <c r="E56" s="17">
        <v>0</v>
      </c>
      <c r="F56" s="17">
        <v>0</v>
      </c>
      <c r="G56" s="18">
        <f>IF(AND(F65&lt;&gt;1315005,0&lt;&gt;0),IF(100*0/(F65-1315005)&lt;0.005,"*",100*0/(F65-1315005)),0)</f>
        <v>0</v>
      </c>
    </row>
    <row r="57" spans="1:7" ht="12.75">
      <c r="A57" s="11" t="s">
        <v>139</v>
      </c>
      <c r="B57" s="17">
        <v>52</v>
      </c>
      <c r="C57" s="17">
        <v>0</v>
      </c>
      <c r="D57" s="17">
        <v>0</v>
      </c>
      <c r="E57" s="17">
        <v>0</v>
      </c>
      <c r="F57" s="17">
        <v>0</v>
      </c>
      <c r="G57" s="18">
        <f>IF(AND(F65&lt;&gt;1315005,0&lt;&gt;0),IF(100*0/(F65-1315005)&lt;0.005,"*",100*0/(F65-1315005)),0)</f>
        <v>0</v>
      </c>
    </row>
    <row r="58" spans="1:7" ht="12.75">
      <c r="A58" s="11" t="s">
        <v>140</v>
      </c>
      <c r="B58" s="17">
        <v>266</v>
      </c>
      <c r="C58" s="17">
        <v>0</v>
      </c>
      <c r="D58" s="17">
        <v>0</v>
      </c>
      <c r="E58" s="17">
        <v>0</v>
      </c>
      <c r="F58" s="17">
        <v>0</v>
      </c>
      <c r="G58" s="18">
        <f>IF(AND(F65&lt;&gt;1315005,0&lt;&gt;0),IF(100*0/(F65-1315005)&lt;0.005,"*",100*0/(F65-1315005)),0)</f>
        <v>0</v>
      </c>
    </row>
    <row r="59" spans="1:7" ht="12.75">
      <c r="A59" s="11" t="s">
        <v>141</v>
      </c>
      <c r="B59" s="17">
        <v>52</v>
      </c>
      <c r="C59" s="17">
        <v>0</v>
      </c>
      <c r="D59" s="17">
        <v>0</v>
      </c>
      <c r="E59" s="17">
        <v>0</v>
      </c>
      <c r="F59" s="17">
        <v>0</v>
      </c>
      <c r="G59" s="18">
        <f>IF(AND(F65&lt;&gt;1315005,0&lt;&gt;0),IF(100*0/(F65-1315005)&lt;0.005,"*",100*0/(F65-1315005)),0)</f>
        <v>0</v>
      </c>
    </row>
    <row r="60" spans="1:7" ht="12.75">
      <c r="A60" s="11" t="s">
        <v>142</v>
      </c>
      <c r="B60" s="17">
        <v>37500</v>
      </c>
      <c r="C60" s="17">
        <v>0</v>
      </c>
      <c r="D60" s="17">
        <v>0</v>
      </c>
      <c r="E60" s="17">
        <v>0</v>
      </c>
      <c r="F60" s="17">
        <v>0</v>
      </c>
      <c r="G60" s="18">
        <f>IF(AND(F65&lt;&gt;1315005,0&lt;&gt;0),IF(100*0/(F65-1315005)&lt;0.005,"*",100*0/(F65-1315005)),0)</f>
        <v>0</v>
      </c>
    </row>
    <row r="61" spans="1:7" ht="12.75">
      <c r="A61" s="11" t="s">
        <v>143</v>
      </c>
      <c r="B61" s="17">
        <v>141</v>
      </c>
      <c r="C61" s="17">
        <v>0</v>
      </c>
      <c r="D61" s="17">
        <v>0</v>
      </c>
      <c r="E61" s="17">
        <v>0</v>
      </c>
      <c r="F61" s="17">
        <v>0</v>
      </c>
      <c r="G61" s="18">
        <f>IF(AND(F65&lt;&gt;1315005,0&lt;&gt;0),IF(100*0/(F65-1315005)&lt;0.005,"*",100*0/(F65-1315005)),0)</f>
        <v>0</v>
      </c>
    </row>
    <row r="62" spans="1:7" ht="12.75">
      <c r="A62" s="11" t="s">
        <v>144</v>
      </c>
      <c r="B62" s="17">
        <v>1504</v>
      </c>
      <c r="C62" s="17">
        <v>0</v>
      </c>
      <c r="D62" s="17">
        <v>0</v>
      </c>
      <c r="E62" s="17">
        <v>0</v>
      </c>
      <c r="F62" s="17">
        <v>0</v>
      </c>
      <c r="G62" s="18">
        <f>IF(AND(F65&lt;&gt;1315005,0&lt;&gt;0),IF(100*0/(F65-1315005)&lt;0.005,"*",100*0/(F65-1315005)),0)</f>
        <v>0</v>
      </c>
    </row>
    <row r="63" spans="1:7" ht="12.75">
      <c r="A63" s="11" t="s">
        <v>145</v>
      </c>
      <c r="B63" s="17">
        <v>0</v>
      </c>
      <c r="C63" s="17">
        <v>0</v>
      </c>
      <c r="D63" s="17">
        <v>0</v>
      </c>
      <c r="E63" s="17">
        <v>0</v>
      </c>
      <c r="F63" s="17">
        <v>0</v>
      </c>
      <c r="G63" s="18">
        <f>IF(AND(F65&lt;&gt;1315005,0&lt;&gt;0),IF(100*0/(F65-1315005)&lt;0.005,"*",100*0/(F65-1315005)),0)</f>
        <v>0</v>
      </c>
    </row>
    <row r="64" spans="1:7" ht="15">
      <c r="A64" s="11" t="s">
        <v>146</v>
      </c>
      <c r="B64" s="17">
        <v>0</v>
      </c>
      <c r="C64" s="17">
        <v>0</v>
      </c>
      <c r="D64" s="23" t="s">
        <v>215</v>
      </c>
      <c r="E64" s="17">
        <v>1315005</v>
      </c>
      <c r="F64" s="23" t="s">
        <v>216</v>
      </c>
      <c r="G64" s="18">
        <v>0</v>
      </c>
    </row>
    <row r="65" spans="1:7" ht="15" customHeight="1">
      <c r="A65" s="19" t="s">
        <v>87</v>
      </c>
      <c r="B65" s="20">
        <f>20277+1757+14820+8402+148708+13080+11869+4975+17093+130836+71143+3641+2014+45897+13706+3340+3633+9166+30463+1826+32665+19054+17675+8688+14867+13361+946+3201+8189+1444+47281+4114+170004+40729+730+23137+8263+6503+39015+3799+25502+890+29671+105184+5193+873+35939+13296+2394+8754+726+52+266+52+37500+47+1504+0+0+41+53+0</f>
        <v>1288248</v>
      </c>
      <c r="C65" s="20">
        <f>0+0+0+0+0+0+0+0+0+0+0+0+0+0+0+0+0+0+0+0+0+0+0+0+0+0+0+0+0+0+0+0+0+0+0+0+0+0+0+0+0+0+0+0+0+0+0+0+0+0+0+0+0+0+0+0+0+0+0+0+0+0</f>
        <v>0</v>
      </c>
      <c r="D65" s="20">
        <f>0+0+0+0+0+0+0+0+0+0+0+0+0+0+0+0+0+0+0+0+0+0+0+0+0+0+0+0+0+0+0+0+0+0+0+0+0+0+0+0+0+0+0+0+0+0+0+0+0+0+0+0+0+0+0+0+0+0+1315005+0+0+0</f>
        <v>1315005</v>
      </c>
      <c r="E65" s="20">
        <f>SUM(C65:D65)</f>
        <v>1315005</v>
      </c>
      <c r="F65" s="20">
        <f>0+0+0+0+0+0+0+0+0+0+0+0+0+0+0+0+0+0+0+0+0+0+0+0+0+0+0+0+0+0+0+0+0+0+0+0+0+0+0+0+0+0+0+0+0+0+0+0+0+0+0+0+0+0+0+0+0+0+1315005+0+0+0</f>
        <v>1315005</v>
      </c>
      <c r="G65" s="21" t="s">
        <v>201</v>
      </c>
    </row>
    <row r="66" spans="1:7" ht="15" customHeight="1">
      <c r="A66" s="33" t="s">
        <v>148</v>
      </c>
      <c r="B66" s="33"/>
      <c r="C66" s="33"/>
      <c r="D66" s="33"/>
      <c r="E66" s="33"/>
      <c r="F66" s="33"/>
      <c r="G66" s="33"/>
    </row>
    <row r="67" spans="1:7" ht="15" customHeight="1">
      <c r="A67" s="26" t="s">
        <v>217</v>
      </c>
      <c r="B67" s="26"/>
      <c r="C67" s="26"/>
      <c r="D67" s="26"/>
      <c r="E67" s="26"/>
      <c r="F67" s="26"/>
      <c r="G67" s="26"/>
    </row>
    <row r="68" spans="1:7" ht="15" customHeight="1">
      <c r="A68" s="26" t="s">
        <v>218</v>
      </c>
      <c r="B68" s="26"/>
      <c r="C68" s="26"/>
      <c r="D68" s="26"/>
      <c r="E68" s="26"/>
      <c r="F68" s="26"/>
      <c r="G68" s="26"/>
    </row>
    <row r="69" spans="1:7" ht="15" customHeight="1">
      <c r="A69" s="26" t="s">
        <v>202</v>
      </c>
      <c r="B69" s="26"/>
      <c r="C69" s="26"/>
      <c r="D69" s="26"/>
      <c r="E69" s="26"/>
      <c r="F69" s="26"/>
      <c r="G69" s="26"/>
    </row>
  </sheetData>
  <sheetProtection/>
  <mergeCells count="8">
    <mergeCell ref="A68:G68"/>
    <mergeCell ref="A69:G69"/>
    <mergeCell ref="A4:A5"/>
    <mergeCell ref="B4:B5"/>
    <mergeCell ref="F4:F5"/>
    <mergeCell ref="G4:G5"/>
    <mergeCell ref="A66:G66"/>
    <mergeCell ref="A67:G67"/>
  </mergeCells>
  <printOptions/>
  <pageMargins left="0.7" right="0.7" top="0.75" bottom="0.75" header="0.3" footer="0.3"/>
  <pageSetup fitToHeight="1" fitToWidth="1"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A1:G123"/>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219</v>
      </c>
      <c r="B1" s="10"/>
      <c r="C1" s="10"/>
      <c r="D1" s="10"/>
      <c r="E1" s="10"/>
      <c r="F1" s="10"/>
      <c r="G1" s="12" t="s">
        <v>220</v>
      </c>
    </row>
    <row r="2" spans="1:7" ht="12.75">
      <c r="A2" s="13" t="s">
        <v>221</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5">
      <c r="A6" s="11" t="s">
        <v>88</v>
      </c>
      <c r="B6" s="23" t="s">
        <v>222</v>
      </c>
      <c r="C6" s="17">
        <v>0</v>
      </c>
      <c r="D6" s="17">
        <v>0</v>
      </c>
      <c r="E6" s="17">
        <v>0</v>
      </c>
      <c r="F6" s="17">
        <v>0</v>
      </c>
      <c r="G6" s="18">
        <f>IF(AND(F65&lt;&gt;0,0&lt;&gt;0),IF(100*0/(F65-0)&lt;0.005,"*",100*0/(F65-0)),0)</f>
        <v>0</v>
      </c>
    </row>
    <row r="7" spans="1:7" ht="15">
      <c r="A7" s="11" t="s">
        <v>89</v>
      </c>
      <c r="B7" s="23" t="s">
        <v>223</v>
      </c>
      <c r="C7" s="17">
        <v>0</v>
      </c>
      <c r="D7" s="17">
        <v>0</v>
      </c>
      <c r="E7" s="17">
        <v>0</v>
      </c>
      <c r="F7" s="17">
        <v>0</v>
      </c>
      <c r="G7" s="18">
        <f>IF(AND(F65&lt;&gt;0,0&lt;&gt;0),IF(100*0/(F65-0)&lt;0.005,"*",100*0/(F65-0)),0)</f>
        <v>0</v>
      </c>
    </row>
    <row r="8" spans="1:7" ht="15">
      <c r="A8" s="11" t="s">
        <v>90</v>
      </c>
      <c r="B8" s="23" t="s">
        <v>224</v>
      </c>
      <c r="C8" s="17">
        <v>0</v>
      </c>
      <c r="D8" s="17">
        <v>0</v>
      </c>
      <c r="E8" s="17">
        <v>0</v>
      </c>
      <c r="F8" s="17">
        <v>0</v>
      </c>
      <c r="G8" s="18">
        <f>IF(AND(F65&lt;&gt;0,0&lt;&gt;0),IF(100*0/(F65-0)&lt;0.005,"*",100*0/(F65-0)),0)</f>
        <v>0</v>
      </c>
    </row>
    <row r="9" spans="1:7" ht="15">
      <c r="A9" s="11" t="s">
        <v>91</v>
      </c>
      <c r="B9" s="23" t="s">
        <v>225</v>
      </c>
      <c r="C9" s="17">
        <v>0</v>
      </c>
      <c r="D9" s="17">
        <v>0</v>
      </c>
      <c r="E9" s="17">
        <v>0</v>
      </c>
      <c r="F9" s="17">
        <v>0</v>
      </c>
      <c r="G9" s="18">
        <f>IF(AND(F65&lt;&gt;0,0&lt;&gt;0),IF(100*0/(F65-0)&lt;0.005,"*",100*0/(F65-0)),0)</f>
        <v>0</v>
      </c>
    </row>
    <row r="10" spans="1:7" ht="15">
      <c r="A10" s="11" t="s">
        <v>92</v>
      </c>
      <c r="B10" s="23" t="s">
        <v>226</v>
      </c>
      <c r="C10" s="17">
        <v>0</v>
      </c>
      <c r="D10" s="17">
        <v>0</v>
      </c>
      <c r="E10" s="17">
        <v>0</v>
      </c>
      <c r="F10" s="17">
        <v>0</v>
      </c>
      <c r="G10" s="18">
        <f>IF(AND(F65&lt;&gt;0,0&lt;&gt;0),IF(100*0/(F65-0)&lt;0.005,"*",100*0/(F65-0)),0)</f>
        <v>0</v>
      </c>
    </row>
    <row r="11" spans="1:7" ht="15">
      <c r="A11" s="11" t="s">
        <v>93</v>
      </c>
      <c r="B11" s="23" t="s">
        <v>227</v>
      </c>
      <c r="C11" s="17">
        <v>0</v>
      </c>
      <c r="D11" s="17">
        <v>0</v>
      </c>
      <c r="E11" s="17">
        <v>0</v>
      </c>
      <c r="F11" s="17">
        <v>0</v>
      </c>
      <c r="G11" s="18">
        <f>IF(AND(F65&lt;&gt;0,0&lt;&gt;0),IF(100*0/(F65-0)&lt;0.005,"*",100*0/(F65-0)),0)</f>
        <v>0</v>
      </c>
    </row>
    <row r="12" spans="1:7" ht="15">
      <c r="A12" s="11" t="s">
        <v>94</v>
      </c>
      <c r="B12" s="23" t="s">
        <v>228</v>
      </c>
      <c r="C12" s="17">
        <v>0</v>
      </c>
      <c r="D12" s="17">
        <v>0</v>
      </c>
      <c r="E12" s="17">
        <v>0</v>
      </c>
      <c r="F12" s="17">
        <v>0</v>
      </c>
      <c r="G12" s="18">
        <f>IF(AND(F65&lt;&gt;0,0&lt;&gt;0),IF(100*0/(F65-0)&lt;0.005,"*",100*0/(F65-0)),0)</f>
        <v>0</v>
      </c>
    </row>
    <row r="13" spans="1:7" ht="15">
      <c r="A13" s="11" t="s">
        <v>95</v>
      </c>
      <c r="B13" s="23" t="s">
        <v>229</v>
      </c>
      <c r="C13" s="17">
        <v>0</v>
      </c>
      <c r="D13" s="17">
        <v>0</v>
      </c>
      <c r="E13" s="17">
        <v>0</v>
      </c>
      <c r="F13" s="17">
        <v>0</v>
      </c>
      <c r="G13" s="18">
        <f>IF(AND(F65&lt;&gt;0,0&lt;&gt;0),IF(100*0/(F65-0)&lt;0.005,"*",100*0/(F65-0)),0)</f>
        <v>0</v>
      </c>
    </row>
    <row r="14" spans="1:7" ht="15">
      <c r="A14" s="11" t="s">
        <v>96</v>
      </c>
      <c r="B14" s="23" t="s">
        <v>230</v>
      </c>
      <c r="C14" s="17">
        <v>0</v>
      </c>
      <c r="D14" s="17">
        <v>0</v>
      </c>
      <c r="E14" s="17">
        <v>0</v>
      </c>
      <c r="F14" s="17">
        <v>0</v>
      </c>
      <c r="G14" s="18">
        <f>IF(AND(F65&lt;&gt;0,0&lt;&gt;0),IF(100*0/(F65-0)&lt;0.005,"*",100*0/(F65-0)),0)</f>
        <v>0</v>
      </c>
    </row>
    <row r="15" spans="1:7" ht="15">
      <c r="A15" s="11" t="s">
        <v>97</v>
      </c>
      <c r="B15" s="23" t="s">
        <v>231</v>
      </c>
      <c r="C15" s="17">
        <v>0</v>
      </c>
      <c r="D15" s="17">
        <v>0</v>
      </c>
      <c r="E15" s="17">
        <v>0</v>
      </c>
      <c r="F15" s="17">
        <v>0</v>
      </c>
      <c r="G15" s="18">
        <f>IF(AND(F65&lt;&gt;0,0&lt;&gt;0),IF(100*0/(F65-0)&lt;0.005,"*",100*0/(F65-0)),0)</f>
        <v>0</v>
      </c>
    </row>
    <row r="16" spans="1:7" ht="15">
      <c r="A16" s="11" t="s">
        <v>98</v>
      </c>
      <c r="B16" s="23" t="s">
        <v>232</v>
      </c>
      <c r="C16" s="17">
        <v>0</v>
      </c>
      <c r="D16" s="17">
        <v>0</v>
      </c>
      <c r="E16" s="17">
        <v>0</v>
      </c>
      <c r="F16" s="17">
        <v>0</v>
      </c>
      <c r="G16" s="18">
        <f>IF(AND(F65&lt;&gt;0,0&lt;&gt;0),IF(100*0/(F65-0)&lt;0.005,"*",100*0/(F65-0)),0)</f>
        <v>0</v>
      </c>
    </row>
    <row r="17" spans="1:7" ht="15">
      <c r="A17" s="11" t="s">
        <v>99</v>
      </c>
      <c r="B17" s="23" t="s">
        <v>233</v>
      </c>
      <c r="C17" s="17">
        <v>0</v>
      </c>
      <c r="D17" s="17">
        <v>0</v>
      </c>
      <c r="E17" s="17">
        <v>0</v>
      </c>
      <c r="F17" s="17">
        <v>0</v>
      </c>
      <c r="G17" s="18">
        <f>IF(AND(F65&lt;&gt;0,0&lt;&gt;0),IF(100*0/(F65-0)&lt;0.005,"*",100*0/(F65-0)),0)</f>
        <v>0</v>
      </c>
    </row>
    <row r="18" spans="1:7" ht="15">
      <c r="A18" s="11" t="s">
        <v>100</v>
      </c>
      <c r="B18" s="23" t="s">
        <v>234</v>
      </c>
      <c r="C18" s="17">
        <v>0</v>
      </c>
      <c r="D18" s="17">
        <v>0</v>
      </c>
      <c r="E18" s="17">
        <v>0</v>
      </c>
      <c r="F18" s="17">
        <v>0</v>
      </c>
      <c r="G18" s="18">
        <f>IF(AND(F65&lt;&gt;0,0&lt;&gt;0),IF(100*0/(F65-0)&lt;0.005,"*",100*0/(F65-0)),0)</f>
        <v>0</v>
      </c>
    </row>
    <row r="19" spans="1:7" ht="15">
      <c r="A19" s="11" t="s">
        <v>101</v>
      </c>
      <c r="B19" s="23" t="s">
        <v>235</v>
      </c>
      <c r="C19" s="17">
        <v>0</v>
      </c>
      <c r="D19" s="17">
        <v>0</v>
      </c>
      <c r="E19" s="17">
        <v>0</v>
      </c>
      <c r="F19" s="17">
        <v>0</v>
      </c>
      <c r="G19" s="18">
        <f>IF(AND(F65&lt;&gt;0,0&lt;&gt;0),IF(100*0/(F65-0)&lt;0.005,"*",100*0/(F65-0)),0)</f>
        <v>0</v>
      </c>
    </row>
    <row r="20" spans="1:7" ht="15">
      <c r="A20" s="11" t="s">
        <v>102</v>
      </c>
      <c r="B20" s="23" t="s">
        <v>236</v>
      </c>
      <c r="C20" s="17">
        <v>0</v>
      </c>
      <c r="D20" s="17">
        <v>0</v>
      </c>
      <c r="E20" s="17">
        <v>0</v>
      </c>
      <c r="F20" s="17">
        <v>0</v>
      </c>
      <c r="G20" s="18">
        <f>IF(AND(F65&lt;&gt;0,0&lt;&gt;0),IF(100*0/(F65-0)&lt;0.005,"*",100*0/(F65-0)),0)</f>
        <v>0</v>
      </c>
    </row>
    <row r="21" spans="1:7" ht="15">
      <c r="A21" s="11" t="s">
        <v>103</v>
      </c>
      <c r="B21" s="23" t="s">
        <v>237</v>
      </c>
      <c r="C21" s="17">
        <v>0</v>
      </c>
      <c r="D21" s="17">
        <v>0</v>
      </c>
      <c r="E21" s="17">
        <v>0</v>
      </c>
      <c r="F21" s="17">
        <v>0</v>
      </c>
      <c r="G21" s="18">
        <f>IF(AND(F65&lt;&gt;0,0&lt;&gt;0),IF(100*0/(F65-0)&lt;0.005,"*",100*0/(F65-0)),0)</f>
        <v>0</v>
      </c>
    </row>
    <row r="22" spans="1:7" ht="15">
      <c r="A22" s="11" t="s">
        <v>104</v>
      </c>
      <c r="B22" s="23" t="s">
        <v>238</v>
      </c>
      <c r="C22" s="17">
        <v>0</v>
      </c>
      <c r="D22" s="17">
        <v>0</v>
      </c>
      <c r="E22" s="17">
        <v>0</v>
      </c>
      <c r="F22" s="17">
        <v>0</v>
      </c>
      <c r="G22" s="18">
        <f>IF(AND(F65&lt;&gt;0,0&lt;&gt;0),IF(100*0/(F65-0)&lt;0.005,"*",100*0/(F65-0)),0)</f>
        <v>0</v>
      </c>
    </row>
    <row r="23" spans="1:7" ht="15">
      <c r="A23" s="11" t="s">
        <v>105</v>
      </c>
      <c r="B23" s="23" t="s">
        <v>239</v>
      </c>
      <c r="C23" s="17">
        <v>0</v>
      </c>
      <c r="D23" s="17">
        <v>0</v>
      </c>
      <c r="E23" s="17">
        <v>0</v>
      </c>
      <c r="F23" s="17">
        <v>0</v>
      </c>
      <c r="G23" s="18">
        <f>IF(AND(F65&lt;&gt;0,0&lt;&gt;0),IF(100*0/(F65-0)&lt;0.005,"*",100*0/(F65-0)),0)</f>
        <v>0</v>
      </c>
    </row>
    <row r="24" spans="1:7" ht="15">
      <c r="A24" s="11" t="s">
        <v>106</v>
      </c>
      <c r="B24" s="23" t="s">
        <v>240</v>
      </c>
      <c r="C24" s="17">
        <v>0</v>
      </c>
      <c r="D24" s="17">
        <v>0</v>
      </c>
      <c r="E24" s="17">
        <v>0</v>
      </c>
      <c r="F24" s="17">
        <v>0</v>
      </c>
      <c r="G24" s="18">
        <f>IF(AND(F65&lt;&gt;0,0&lt;&gt;0),IF(100*0/(F65-0)&lt;0.005,"*",100*0/(F65-0)),0)</f>
        <v>0</v>
      </c>
    </row>
    <row r="25" spans="1:7" ht="15">
      <c r="A25" s="11" t="s">
        <v>107</v>
      </c>
      <c r="B25" s="23" t="s">
        <v>241</v>
      </c>
      <c r="C25" s="17">
        <v>0</v>
      </c>
      <c r="D25" s="17">
        <v>0</v>
      </c>
      <c r="E25" s="17">
        <v>0</v>
      </c>
      <c r="F25" s="17">
        <v>0</v>
      </c>
      <c r="G25" s="18">
        <f>IF(AND(F65&lt;&gt;0,0&lt;&gt;0),IF(100*0/(F65-0)&lt;0.005,"*",100*0/(F65-0)),0)</f>
        <v>0</v>
      </c>
    </row>
    <row r="26" spans="1:7" ht="15">
      <c r="A26" s="11" t="s">
        <v>108</v>
      </c>
      <c r="B26" s="23" t="s">
        <v>242</v>
      </c>
      <c r="C26" s="17">
        <v>0</v>
      </c>
      <c r="D26" s="17">
        <v>0</v>
      </c>
      <c r="E26" s="17">
        <v>0</v>
      </c>
      <c r="F26" s="17">
        <v>0</v>
      </c>
      <c r="G26" s="18">
        <f>IF(AND(F65&lt;&gt;0,0&lt;&gt;0),IF(100*0/(F65-0)&lt;0.005,"*",100*0/(F65-0)),0)</f>
        <v>0</v>
      </c>
    </row>
    <row r="27" spans="1:7" ht="15">
      <c r="A27" s="11" t="s">
        <v>109</v>
      </c>
      <c r="B27" s="23" t="s">
        <v>243</v>
      </c>
      <c r="C27" s="17">
        <v>0</v>
      </c>
      <c r="D27" s="17">
        <v>0</v>
      </c>
      <c r="E27" s="17">
        <v>0</v>
      </c>
      <c r="F27" s="17">
        <v>0</v>
      </c>
      <c r="G27" s="18">
        <f>IF(AND(F65&lt;&gt;0,0&lt;&gt;0),IF(100*0/(F65-0)&lt;0.005,"*",100*0/(F65-0)),0)</f>
        <v>0</v>
      </c>
    </row>
    <row r="28" spans="1:7" ht="15">
      <c r="A28" s="11" t="s">
        <v>110</v>
      </c>
      <c r="B28" s="23" t="s">
        <v>244</v>
      </c>
      <c r="C28" s="17">
        <v>0</v>
      </c>
      <c r="D28" s="17">
        <v>0</v>
      </c>
      <c r="E28" s="17">
        <v>0</v>
      </c>
      <c r="F28" s="17">
        <v>0</v>
      </c>
      <c r="G28" s="18">
        <f>IF(AND(F65&lt;&gt;0,0&lt;&gt;0),IF(100*0/(F65-0)&lt;0.005,"*",100*0/(F65-0)),0)</f>
        <v>0</v>
      </c>
    </row>
    <row r="29" spans="1:7" ht="15">
      <c r="A29" s="11" t="s">
        <v>111</v>
      </c>
      <c r="B29" s="23" t="s">
        <v>245</v>
      </c>
      <c r="C29" s="17">
        <v>0</v>
      </c>
      <c r="D29" s="17">
        <v>0</v>
      </c>
      <c r="E29" s="17">
        <v>0</v>
      </c>
      <c r="F29" s="17">
        <v>0</v>
      </c>
      <c r="G29" s="18">
        <f>IF(AND(F65&lt;&gt;0,0&lt;&gt;0),IF(100*0/(F65-0)&lt;0.005,"*",100*0/(F65-0)),0)</f>
        <v>0</v>
      </c>
    </row>
    <row r="30" spans="1:7" ht="15">
      <c r="A30" s="11" t="s">
        <v>112</v>
      </c>
      <c r="B30" s="23" t="s">
        <v>246</v>
      </c>
      <c r="C30" s="17">
        <v>0</v>
      </c>
      <c r="D30" s="17">
        <v>0</v>
      </c>
      <c r="E30" s="17">
        <v>0</v>
      </c>
      <c r="F30" s="17">
        <v>0</v>
      </c>
      <c r="G30" s="18">
        <f>IF(AND(F65&lt;&gt;0,0&lt;&gt;0),IF(100*0/(F65-0)&lt;0.005,"*",100*0/(F65-0)),0)</f>
        <v>0</v>
      </c>
    </row>
    <row r="31" spans="1:7" ht="15">
      <c r="A31" s="11" t="s">
        <v>113</v>
      </c>
      <c r="B31" s="23" t="s">
        <v>247</v>
      </c>
      <c r="C31" s="17">
        <v>0</v>
      </c>
      <c r="D31" s="17">
        <v>0</v>
      </c>
      <c r="E31" s="17">
        <v>0</v>
      </c>
      <c r="F31" s="17">
        <v>0</v>
      </c>
      <c r="G31" s="18">
        <f>IF(AND(F65&lt;&gt;0,0&lt;&gt;0),IF(100*0/(F65-0)&lt;0.005,"*",100*0/(F65-0)),0)</f>
        <v>0</v>
      </c>
    </row>
    <row r="32" spans="1:7" ht="15">
      <c r="A32" s="11" t="s">
        <v>114</v>
      </c>
      <c r="B32" s="23" t="s">
        <v>248</v>
      </c>
      <c r="C32" s="17">
        <v>0</v>
      </c>
      <c r="D32" s="17">
        <v>0</v>
      </c>
      <c r="E32" s="17">
        <v>0</v>
      </c>
      <c r="F32" s="17">
        <v>0</v>
      </c>
      <c r="G32" s="18">
        <f>IF(AND(F65&lt;&gt;0,0&lt;&gt;0),IF(100*0/(F65-0)&lt;0.005,"*",100*0/(F65-0)),0)</f>
        <v>0</v>
      </c>
    </row>
    <row r="33" spans="1:7" ht="15">
      <c r="A33" s="11" t="s">
        <v>115</v>
      </c>
      <c r="B33" s="23" t="s">
        <v>249</v>
      </c>
      <c r="C33" s="17">
        <v>0</v>
      </c>
      <c r="D33" s="17">
        <v>0</v>
      </c>
      <c r="E33" s="17">
        <v>0</v>
      </c>
      <c r="F33" s="17">
        <v>0</v>
      </c>
      <c r="G33" s="18">
        <f>IF(AND(F65&lt;&gt;0,0&lt;&gt;0),IF(100*0/(F65-0)&lt;0.005,"*",100*0/(F65-0)),0)</f>
        <v>0</v>
      </c>
    </row>
    <row r="34" spans="1:7" ht="15">
      <c r="A34" s="11" t="s">
        <v>116</v>
      </c>
      <c r="B34" s="23" t="s">
        <v>250</v>
      </c>
      <c r="C34" s="17">
        <v>0</v>
      </c>
      <c r="D34" s="17">
        <v>0</v>
      </c>
      <c r="E34" s="17">
        <v>0</v>
      </c>
      <c r="F34" s="17">
        <v>0</v>
      </c>
      <c r="G34" s="18">
        <f>IF(AND(F65&lt;&gt;0,0&lt;&gt;0),IF(100*0/(F65-0)&lt;0.005,"*",100*0/(F65-0)),0)</f>
        <v>0</v>
      </c>
    </row>
    <row r="35" spans="1:7" ht="15">
      <c r="A35" s="11" t="s">
        <v>117</v>
      </c>
      <c r="B35" s="23" t="s">
        <v>251</v>
      </c>
      <c r="C35" s="17">
        <v>0</v>
      </c>
      <c r="D35" s="17">
        <v>0</v>
      </c>
      <c r="E35" s="17">
        <v>0</v>
      </c>
      <c r="F35" s="17">
        <v>0</v>
      </c>
      <c r="G35" s="18">
        <f>IF(AND(F65&lt;&gt;0,0&lt;&gt;0),IF(100*0/(F65-0)&lt;0.005,"*",100*0/(F65-0)),0)</f>
        <v>0</v>
      </c>
    </row>
    <row r="36" spans="1:7" ht="15">
      <c r="A36" s="11" t="s">
        <v>118</v>
      </c>
      <c r="B36" s="23" t="s">
        <v>252</v>
      </c>
      <c r="C36" s="17">
        <v>0</v>
      </c>
      <c r="D36" s="17">
        <v>0</v>
      </c>
      <c r="E36" s="17">
        <v>0</v>
      </c>
      <c r="F36" s="17">
        <v>0</v>
      </c>
      <c r="G36" s="18">
        <f>IF(AND(F65&lt;&gt;0,0&lt;&gt;0),IF(100*0/(F65-0)&lt;0.005,"*",100*0/(F65-0)),0)</f>
        <v>0</v>
      </c>
    </row>
    <row r="37" spans="1:7" ht="15">
      <c r="A37" s="11" t="s">
        <v>119</v>
      </c>
      <c r="B37" s="23" t="s">
        <v>253</v>
      </c>
      <c r="C37" s="17">
        <v>0</v>
      </c>
      <c r="D37" s="17">
        <v>0</v>
      </c>
      <c r="E37" s="17">
        <v>0</v>
      </c>
      <c r="F37" s="17">
        <v>0</v>
      </c>
      <c r="G37" s="18">
        <f>IF(AND(F65&lt;&gt;0,0&lt;&gt;0),IF(100*0/(F65-0)&lt;0.005,"*",100*0/(F65-0)),0)</f>
        <v>0</v>
      </c>
    </row>
    <row r="38" spans="1:7" ht="15">
      <c r="A38" s="11" t="s">
        <v>120</v>
      </c>
      <c r="B38" s="23" t="s">
        <v>254</v>
      </c>
      <c r="C38" s="17">
        <v>0</v>
      </c>
      <c r="D38" s="17">
        <v>0</v>
      </c>
      <c r="E38" s="17">
        <v>0</v>
      </c>
      <c r="F38" s="17">
        <v>0</v>
      </c>
      <c r="G38" s="18">
        <f>IF(AND(F65&lt;&gt;0,0&lt;&gt;0),IF(100*0/(F65-0)&lt;0.005,"*",100*0/(F65-0)),0)</f>
        <v>0</v>
      </c>
    </row>
    <row r="39" spans="1:7" ht="15">
      <c r="A39" s="11" t="s">
        <v>121</v>
      </c>
      <c r="B39" s="23" t="s">
        <v>255</v>
      </c>
      <c r="C39" s="17">
        <v>0</v>
      </c>
      <c r="D39" s="17">
        <v>0</v>
      </c>
      <c r="E39" s="17">
        <v>0</v>
      </c>
      <c r="F39" s="17">
        <v>0</v>
      </c>
      <c r="G39" s="18">
        <f>IF(AND(F65&lt;&gt;0,0&lt;&gt;0),IF(100*0/(F65-0)&lt;0.005,"*",100*0/(F65-0)),0)</f>
        <v>0</v>
      </c>
    </row>
    <row r="40" spans="1:7" ht="15">
      <c r="A40" s="11" t="s">
        <v>122</v>
      </c>
      <c r="B40" s="23" t="s">
        <v>256</v>
      </c>
      <c r="C40" s="17">
        <v>0</v>
      </c>
      <c r="D40" s="17">
        <v>0</v>
      </c>
      <c r="E40" s="17">
        <v>0</v>
      </c>
      <c r="F40" s="17">
        <v>0</v>
      </c>
      <c r="G40" s="18">
        <f>IF(AND(F65&lt;&gt;0,0&lt;&gt;0),IF(100*0/(F65-0)&lt;0.005,"*",100*0/(F65-0)),0)</f>
        <v>0</v>
      </c>
    </row>
    <row r="41" spans="1:7" ht="15">
      <c r="A41" s="11" t="s">
        <v>123</v>
      </c>
      <c r="B41" s="23" t="s">
        <v>257</v>
      </c>
      <c r="C41" s="17">
        <v>0</v>
      </c>
      <c r="D41" s="17">
        <v>0</v>
      </c>
      <c r="E41" s="17">
        <v>0</v>
      </c>
      <c r="F41" s="17">
        <v>0</v>
      </c>
      <c r="G41" s="18">
        <f>IF(AND(F65&lt;&gt;0,0&lt;&gt;0),IF(100*0/(F65-0)&lt;0.005,"*",100*0/(F65-0)),0)</f>
        <v>0</v>
      </c>
    </row>
    <row r="42" spans="1:7" ht="15">
      <c r="A42" s="11" t="s">
        <v>124</v>
      </c>
      <c r="B42" s="23" t="s">
        <v>258</v>
      </c>
      <c r="C42" s="17">
        <v>0</v>
      </c>
      <c r="D42" s="17">
        <v>0</v>
      </c>
      <c r="E42" s="17">
        <v>0</v>
      </c>
      <c r="F42" s="17">
        <v>0</v>
      </c>
      <c r="G42" s="18">
        <f>IF(AND(F65&lt;&gt;0,0&lt;&gt;0),IF(100*0/(F65-0)&lt;0.005,"*",100*0/(F65-0)),0)</f>
        <v>0</v>
      </c>
    </row>
    <row r="43" spans="1:7" ht="15">
      <c r="A43" s="11" t="s">
        <v>125</v>
      </c>
      <c r="B43" s="23" t="s">
        <v>259</v>
      </c>
      <c r="C43" s="17">
        <v>0</v>
      </c>
      <c r="D43" s="17">
        <v>0</v>
      </c>
      <c r="E43" s="17">
        <v>0</v>
      </c>
      <c r="F43" s="17">
        <v>0</v>
      </c>
      <c r="G43" s="18">
        <f>IF(AND(F65&lt;&gt;0,0&lt;&gt;0),IF(100*0/(F65-0)&lt;0.005,"*",100*0/(F65-0)),0)</f>
        <v>0</v>
      </c>
    </row>
    <row r="44" spans="1:7" ht="15">
      <c r="A44" s="11" t="s">
        <v>126</v>
      </c>
      <c r="B44" s="23" t="s">
        <v>260</v>
      </c>
      <c r="C44" s="17">
        <v>0</v>
      </c>
      <c r="D44" s="17">
        <v>0</v>
      </c>
      <c r="E44" s="17">
        <v>0</v>
      </c>
      <c r="F44" s="17">
        <v>0</v>
      </c>
      <c r="G44" s="18">
        <f>IF(AND(F65&lt;&gt;0,0&lt;&gt;0),IF(100*0/(F65-0)&lt;0.005,"*",100*0/(F65-0)),0)</f>
        <v>0</v>
      </c>
    </row>
    <row r="45" spans="1:7" ht="15">
      <c r="A45" s="11" t="s">
        <v>127</v>
      </c>
      <c r="B45" s="23" t="s">
        <v>261</v>
      </c>
      <c r="C45" s="17">
        <v>0</v>
      </c>
      <c r="D45" s="17">
        <v>0</v>
      </c>
      <c r="E45" s="17">
        <v>0</v>
      </c>
      <c r="F45" s="17">
        <v>0</v>
      </c>
      <c r="G45" s="18">
        <f>IF(AND(F65&lt;&gt;0,0&lt;&gt;0),IF(100*0/(F65-0)&lt;0.005,"*",100*0/(F65-0)),0)</f>
        <v>0</v>
      </c>
    </row>
    <row r="46" spans="1:7" ht="15">
      <c r="A46" s="11" t="s">
        <v>128</v>
      </c>
      <c r="B46" s="23" t="s">
        <v>262</v>
      </c>
      <c r="C46" s="17">
        <v>0</v>
      </c>
      <c r="D46" s="17">
        <v>0</v>
      </c>
      <c r="E46" s="17">
        <v>0</v>
      </c>
      <c r="F46" s="17">
        <v>0</v>
      </c>
      <c r="G46" s="18">
        <f>IF(AND(F65&lt;&gt;0,0&lt;&gt;0),IF(100*0/(F65-0)&lt;0.005,"*",100*0/(F65-0)),0)</f>
        <v>0</v>
      </c>
    </row>
    <row r="47" spans="1:7" ht="15">
      <c r="A47" s="11" t="s">
        <v>129</v>
      </c>
      <c r="B47" s="23" t="s">
        <v>263</v>
      </c>
      <c r="C47" s="17">
        <v>0</v>
      </c>
      <c r="D47" s="17">
        <v>0</v>
      </c>
      <c r="E47" s="17">
        <v>0</v>
      </c>
      <c r="F47" s="17">
        <v>0</v>
      </c>
      <c r="G47" s="18">
        <f>IF(AND(F65&lt;&gt;0,0&lt;&gt;0),IF(100*0/(F65-0)&lt;0.005,"*",100*0/(F65-0)),0)</f>
        <v>0</v>
      </c>
    </row>
    <row r="48" spans="1:7" ht="15">
      <c r="A48" s="11" t="s">
        <v>130</v>
      </c>
      <c r="B48" s="23" t="s">
        <v>264</v>
      </c>
      <c r="C48" s="17">
        <v>0</v>
      </c>
      <c r="D48" s="17">
        <v>0</v>
      </c>
      <c r="E48" s="17">
        <v>0</v>
      </c>
      <c r="F48" s="17">
        <v>0</v>
      </c>
      <c r="G48" s="18">
        <f>IF(AND(F65&lt;&gt;0,0&lt;&gt;0),IF(100*0/(F65-0)&lt;0.005,"*",100*0/(F65-0)),0)</f>
        <v>0</v>
      </c>
    </row>
    <row r="49" spans="1:7" ht="15">
      <c r="A49" s="11" t="s">
        <v>131</v>
      </c>
      <c r="B49" s="23" t="s">
        <v>265</v>
      </c>
      <c r="C49" s="17">
        <v>0</v>
      </c>
      <c r="D49" s="17">
        <v>0</v>
      </c>
      <c r="E49" s="17">
        <v>0</v>
      </c>
      <c r="F49" s="17">
        <v>0</v>
      </c>
      <c r="G49" s="18">
        <f>IF(AND(F65&lt;&gt;0,0&lt;&gt;0),IF(100*0/(F65-0)&lt;0.005,"*",100*0/(F65-0)),0)</f>
        <v>0</v>
      </c>
    </row>
    <row r="50" spans="1:7" ht="15">
      <c r="A50" s="11" t="s">
        <v>132</v>
      </c>
      <c r="B50" s="23" t="s">
        <v>266</v>
      </c>
      <c r="C50" s="17">
        <v>0</v>
      </c>
      <c r="D50" s="17">
        <v>0</v>
      </c>
      <c r="E50" s="17">
        <v>0</v>
      </c>
      <c r="F50" s="17">
        <v>0</v>
      </c>
      <c r="G50" s="18">
        <f>IF(AND(F65&lt;&gt;0,0&lt;&gt;0),IF(100*0/(F65-0)&lt;0.005,"*",100*0/(F65-0)),0)</f>
        <v>0</v>
      </c>
    </row>
    <row r="51" spans="1:7" ht="15">
      <c r="A51" s="11" t="s">
        <v>133</v>
      </c>
      <c r="B51" s="23" t="s">
        <v>267</v>
      </c>
      <c r="C51" s="17">
        <v>0</v>
      </c>
      <c r="D51" s="17">
        <v>0</v>
      </c>
      <c r="E51" s="17">
        <v>0</v>
      </c>
      <c r="F51" s="17">
        <v>0</v>
      </c>
      <c r="G51" s="18">
        <f>IF(AND(F65&lt;&gt;0,0&lt;&gt;0),IF(100*0/(F65-0)&lt;0.005,"*",100*0/(F65-0)),0)</f>
        <v>0</v>
      </c>
    </row>
    <row r="52" spans="1:7" ht="15">
      <c r="A52" s="11" t="s">
        <v>134</v>
      </c>
      <c r="B52" s="23" t="s">
        <v>268</v>
      </c>
      <c r="C52" s="17">
        <v>0</v>
      </c>
      <c r="D52" s="17">
        <v>0</v>
      </c>
      <c r="E52" s="17">
        <v>0</v>
      </c>
      <c r="F52" s="17">
        <v>0</v>
      </c>
      <c r="G52" s="18">
        <f>IF(AND(F65&lt;&gt;0,0&lt;&gt;0),IF(100*0/(F65-0)&lt;0.005,"*",100*0/(F65-0)),0)</f>
        <v>0</v>
      </c>
    </row>
    <row r="53" spans="1:7" ht="15">
      <c r="A53" s="11" t="s">
        <v>135</v>
      </c>
      <c r="B53" s="23" t="s">
        <v>269</v>
      </c>
      <c r="C53" s="17">
        <v>0</v>
      </c>
      <c r="D53" s="17">
        <v>0</v>
      </c>
      <c r="E53" s="17">
        <v>0</v>
      </c>
      <c r="F53" s="17">
        <v>0</v>
      </c>
      <c r="G53" s="18">
        <f>IF(AND(F65&lt;&gt;0,0&lt;&gt;0),IF(100*0/(F65-0)&lt;0.005,"*",100*0/(F65-0)),0)</f>
        <v>0</v>
      </c>
    </row>
    <row r="54" spans="1:7" ht="15">
      <c r="A54" s="11" t="s">
        <v>136</v>
      </c>
      <c r="B54" s="23" t="s">
        <v>270</v>
      </c>
      <c r="C54" s="17">
        <v>0</v>
      </c>
      <c r="D54" s="17">
        <v>0</v>
      </c>
      <c r="E54" s="17">
        <v>0</v>
      </c>
      <c r="F54" s="17">
        <v>0</v>
      </c>
      <c r="G54" s="18">
        <f>IF(AND(F65&lt;&gt;0,0&lt;&gt;0),IF(100*0/(F65-0)&lt;0.005,"*",100*0/(F65-0)),0)</f>
        <v>0</v>
      </c>
    </row>
    <row r="55" spans="1:7" ht="15">
      <c r="A55" s="11" t="s">
        <v>137</v>
      </c>
      <c r="B55" s="23" t="s">
        <v>271</v>
      </c>
      <c r="C55" s="17">
        <v>0</v>
      </c>
      <c r="D55" s="17">
        <v>0</v>
      </c>
      <c r="E55" s="17">
        <v>0</v>
      </c>
      <c r="F55" s="17">
        <v>0</v>
      </c>
      <c r="G55" s="18">
        <f>IF(AND(F65&lt;&gt;0,0&lt;&gt;0),IF(100*0/(F65-0)&lt;0.005,"*",100*0/(F65-0)),0)</f>
        <v>0</v>
      </c>
    </row>
    <row r="56" spans="1:7" ht="15">
      <c r="A56" s="11" t="s">
        <v>138</v>
      </c>
      <c r="B56" s="23" t="s">
        <v>272</v>
      </c>
      <c r="C56" s="17">
        <v>0</v>
      </c>
      <c r="D56" s="17">
        <v>0</v>
      </c>
      <c r="E56" s="17">
        <v>0</v>
      </c>
      <c r="F56" s="17">
        <v>0</v>
      </c>
      <c r="G56" s="18">
        <f>IF(AND(F65&lt;&gt;0,0&lt;&gt;0),IF(100*0/(F65-0)&lt;0.005,"*",100*0/(F65-0)),0)</f>
        <v>0</v>
      </c>
    </row>
    <row r="57" spans="1:7" ht="15">
      <c r="A57" s="11" t="s">
        <v>139</v>
      </c>
      <c r="B57" s="23" t="s">
        <v>273</v>
      </c>
      <c r="C57" s="17">
        <v>0</v>
      </c>
      <c r="D57" s="17">
        <v>0</v>
      </c>
      <c r="E57" s="17">
        <v>0</v>
      </c>
      <c r="F57" s="17">
        <v>0</v>
      </c>
      <c r="G57" s="18">
        <f>IF(AND(F65&lt;&gt;0,0&lt;&gt;0),IF(100*0/(F65-0)&lt;0.005,"*",100*0/(F65-0)),0)</f>
        <v>0</v>
      </c>
    </row>
    <row r="58" spans="1:7" ht="15">
      <c r="A58" s="11" t="s">
        <v>140</v>
      </c>
      <c r="B58" s="23" t="s">
        <v>274</v>
      </c>
      <c r="C58" s="17">
        <v>0</v>
      </c>
      <c r="D58" s="17">
        <v>0</v>
      </c>
      <c r="E58" s="17">
        <v>0</v>
      </c>
      <c r="F58" s="17">
        <v>0</v>
      </c>
      <c r="G58" s="18">
        <f>IF(AND(F65&lt;&gt;0,0&lt;&gt;0),IF(100*0/(F65-0)&lt;0.005,"*",100*0/(F65-0)),0)</f>
        <v>0</v>
      </c>
    </row>
    <row r="59" spans="1:7" ht="15">
      <c r="A59" s="11" t="s">
        <v>141</v>
      </c>
      <c r="B59" s="23" t="s">
        <v>275</v>
      </c>
      <c r="C59" s="17">
        <v>0</v>
      </c>
      <c r="D59" s="17">
        <v>0</v>
      </c>
      <c r="E59" s="17">
        <v>0</v>
      </c>
      <c r="F59" s="17">
        <v>0</v>
      </c>
      <c r="G59" s="18">
        <f>IF(AND(F65&lt;&gt;0,0&lt;&gt;0),IF(100*0/(F65-0)&lt;0.005,"*",100*0/(F65-0)),0)</f>
        <v>0</v>
      </c>
    </row>
    <row r="60" spans="1:7" ht="15">
      <c r="A60" s="11" t="s">
        <v>142</v>
      </c>
      <c r="B60" s="23" t="s">
        <v>276</v>
      </c>
      <c r="C60" s="17">
        <v>0</v>
      </c>
      <c r="D60" s="17">
        <v>0</v>
      </c>
      <c r="E60" s="17">
        <v>0</v>
      </c>
      <c r="F60" s="17">
        <v>0</v>
      </c>
      <c r="G60" s="18">
        <f>IF(AND(F65&lt;&gt;0,0&lt;&gt;0),IF(100*0/(F65-0)&lt;0.005,"*",100*0/(F65-0)),0)</f>
        <v>0</v>
      </c>
    </row>
    <row r="61" spans="1:7" ht="15">
      <c r="A61" s="11" t="s">
        <v>143</v>
      </c>
      <c r="B61" s="23" t="s">
        <v>277</v>
      </c>
      <c r="C61" s="17">
        <v>0</v>
      </c>
      <c r="D61" s="17">
        <v>0</v>
      </c>
      <c r="E61" s="17">
        <v>0</v>
      </c>
      <c r="F61" s="17">
        <v>0</v>
      </c>
      <c r="G61" s="18">
        <f>IF(AND(F65&lt;&gt;0,0&lt;&gt;0),IF(100*0/(F65-0)&lt;0.005,"*",100*0/(F65-0)),0)</f>
        <v>0</v>
      </c>
    </row>
    <row r="62" spans="1:7" ht="15">
      <c r="A62" s="11" t="s">
        <v>144</v>
      </c>
      <c r="B62" s="23" t="s">
        <v>278</v>
      </c>
      <c r="C62" s="17">
        <v>0</v>
      </c>
      <c r="D62" s="17">
        <v>0</v>
      </c>
      <c r="E62" s="17">
        <v>0</v>
      </c>
      <c r="F62" s="17">
        <v>0</v>
      </c>
      <c r="G62" s="18">
        <f>IF(AND(F65&lt;&gt;0,0&lt;&gt;0),IF(100*0/(F65-0)&lt;0.005,"*",100*0/(F65-0)),0)</f>
        <v>0</v>
      </c>
    </row>
    <row r="63" spans="1:7" ht="12.75">
      <c r="A63" s="11" t="s">
        <v>145</v>
      </c>
      <c r="B63" s="17">
        <v>0</v>
      </c>
      <c r="C63" s="17">
        <v>0</v>
      </c>
      <c r="D63" s="17">
        <v>0</v>
      </c>
      <c r="E63" s="17">
        <v>0</v>
      </c>
      <c r="F63" s="17">
        <v>0</v>
      </c>
      <c r="G63" s="18">
        <f>IF(AND(F65&lt;&gt;0,0&lt;&gt;0),IF(100*0/(F65-0)&lt;0.005,"*",100*0/(F65-0)),0)</f>
        <v>0</v>
      </c>
    </row>
    <row r="64" spans="1:7" ht="12.75">
      <c r="A64" s="11" t="s">
        <v>146</v>
      </c>
      <c r="B64" s="17">
        <v>0</v>
      </c>
      <c r="C64" s="17">
        <v>0</v>
      </c>
      <c r="D64" s="17">
        <v>2307000</v>
      </c>
      <c r="E64" s="17">
        <v>2307000</v>
      </c>
      <c r="F64" s="17">
        <v>1877000</v>
      </c>
      <c r="G64" s="18">
        <v>0</v>
      </c>
    </row>
    <row r="65" spans="1:7" ht="15" customHeight="1">
      <c r="A65" s="19" t="s">
        <v>87</v>
      </c>
      <c r="B65" s="20">
        <f>28350+9704+59523+14523+308821+21432+16187+10590+76007+81277+34135+11630+10088+126969+25620+12066+10838+18469+20136+12332+47110+71448+48733+26253+14953+23381+10333+8944+16583+11262+129602+11699+351148+38851+8410+56248+13768+23360+100860+12083+20341+8805+21349+135767+9571+7793+41110+50067+16732+16150+6999+1764+2330+1762+10452+100+2267+0+0+0</f>
        <v>2287085</v>
      </c>
      <c r="C65" s="20">
        <f>0+0+0+0+0+0+0+0+0+0+0+0+0+0+0+0+0+0+0+0+0+0+0+0+0+0+0+0+0+0+0+0+0+0+0+0+0+0+0+0+0+0+0+0+0+0+0+0+0+0+0+0+0+0+0+0+0+0+0+0</f>
        <v>0</v>
      </c>
      <c r="D65" s="20">
        <f>0+0+0+0+0+0+0+0+0+0+0+0+0+0+0+0+0+0+0+0+0+0+0+0+0+0+0+0+0+0+0+0+0+0+0+0+0+0+0+0+0+0+0+0+0+0+0+0+0+0+0+0+0+0+0+0+0+0+2307000+0</f>
        <v>2307000</v>
      </c>
      <c r="E65" s="20">
        <f>SUM(C65:D65)</f>
        <v>2307000</v>
      </c>
      <c r="F65" s="20">
        <v>1877000</v>
      </c>
      <c r="G65" s="22" t="s">
        <v>170</v>
      </c>
    </row>
    <row r="66" spans="1:7" ht="15" customHeight="1">
      <c r="A66" s="33" t="s">
        <v>148</v>
      </c>
      <c r="B66" s="33"/>
      <c r="C66" s="33"/>
      <c r="D66" s="33"/>
      <c r="E66" s="33"/>
      <c r="F66" s="33"/>
      <c r="G66" s="33"/>
    </row>
    <row r="67" spans="1:7" ht="15" customHeight="1">
      <c r="A67" s="26" t="s">
        <v>279</v>
      </c>
      <c r="B67" s="26"/>
      <c r="C67" s="26"/>
      <c r="D67" s="26"/>
      <c r="E67" s="26"/>
      <c r="F67" s="26"/>
      <c r="G67" s="26"/>
    </row>
    <row r="68" spans="1:7" ht="15" customHeight="1">
      <c r="A68" s="26" t="s">
        <v>426</v>
      </c>
      <c r="B68" s="26"/>
      <c r="C68" s="26"/>
      <c r="D68" s="26"/>
      <c r="E68" s="26"/>
      <c r="F68" s="26"/>
      <c r="G68" s="26"/>
    </row>
    <row r="69" spans="1:7" ht="15" customHeight="1">
      <c r="A69" s="26" t="s">
        <v>280</v>
      </c>
      <c r="B69" s="26"/>
      <c r="C69" s="26"/>
      <c r="D69" s="26"/>
      <c r="E69" s="26"/>
      <c r="F69" s="26"/>
      <c r="G69" s="26"/>
    </row>
    <row r="70" spans="1:7" ht="15" customHeight="1">
      <c r="A70" s="26" t="s">
        <v>281</v>
      </c>
      <c r="B70" s="26"/>
      <c r="C70" s="26"/>
      <c r="D70" s="26"/>
      <c r="E70" s="26"/>
      <c r="F70" s="26"/>
      <c r="G70" s="26"/>
    </row>
    <row r="71" spans="1:7" ht="15" customHeight="1">
      <c r="A71" s="26" t="s">
        <v>282</v>
      </c>
      <c r="B71" s="26"/>
      <c r="C71" s="26"/>
      <c r="D71" s="26"/>
      <c r="E71" s="26"/>
      <c r="F71" s="26"/>
      <c r="G71" s="26"/>
    </row>
    <row r="72" spans="1:7" ht="15" customHeight="1">
      <c r="A72" s="26" t="s">
        <v>283</v>
      </c>
      <c r="B72" s="26"/>
      <c r="C72" s="26"/>
      <c r="D72" s="26"/>
      <c r="E72" s="26"/>
      <c r="F72" s="26"/>
      <c r="G72" s="26"/>
    </row>
    <row r="73" spans="1:7" ht="15" customHeight="1">
      <c r="A73" s="26" t="s">
        <v>284</v>
      </c>
      <c r="B73" s="26"/>
      <c r="C73" s="26"/>
      <c r="D73" s="26"/>
      <c r="E73" s="26"/>
      <c r="F73" s="26"/>
      <c r="G73" s="26"/>
    </row>
    <row r="74" spans="1:7" ht="15" customHeight="1">
      <c r="A74" s="26" t="s">
        <v>285</v>
      </c>
      <c r="B74" s="26"/>
      <c r="C74" s="26"/>
      <c r="D74" s="26"/>
      <c r="E74" s="26"/>
      <c r="F74" s="26"/>
      <c r="G74" s="26"/>
    </row>
    <row r="75" spans="1:7" ht="15" customHeight="1">
      <c r="A75" s="26" t="s">
        <v>286</v>
      </c>
      <c r="B75" s="26"/>
      <c r="C75" s="26"/>
      <c r="D75" s="26"/>
      <c r="E75" s="26"/>
      <c r="F75" s="26"/>
      <c r="G75" s="26"/>
    </row>
    <row r="76" spans="1:7" ht="15" customHeight="1">
      <c r="A76" s="26" t="s">
        <v>287</v>
      </c>
      <c r="B76" s="26"/>
      <c r="C76" s="26"/>
      <c r="D76" s="26"/>
      <c r="E76" s="26"/>
      <c r="F76" s="26"/>
      <c r="G76" s="26"/>
    </row>
    <row r="77" spans="1:7" ht="15" customHeight="1">
      <c r="A77" s="26" t="s">
        <v>288</v>
      </c>
      <c r="B77" s="26"/>
      <c r="C77" s="26"/>
      <c r="D77" s="26"/>
      <c r="E77" s="26"/>
      <c r="F77" s="26"/>
      <c r="G77" s="26"/>
    </row>
    <row r="78" spans="1:7" ht="15" customHeight="1">
      <c r="A78" s="26" t="s">
        <v>289</v>
      </c>
      <c r="B78" s="26"/>
      <c r="C78" s="26"/>
      <c r="D78" s="26"/>
      <c r="E78" s="26"/>
      <c r="F78" s="26"/>
      <c r="G78" s="26"/>
    </row>
    <row r="79" spans="1:7" ht="15" customHeight="1">
      <c r="A79" s="26" t="s">
        <v>290</v>
      </c>
      <c r="B79" s="26"/>
      <c r="C79" s="26"/>
      <c r="D79" s="26"/>
      <c r="E79" s="26"/>
      <c r="F79" s="26"/>
      <c r="G79" s="26"/>
    </row>
    <row r="80" spans="1:7" ht="15" customHeight="1">
      <c r="A80" s="26" t="s">
        <v>291</v>
      </c>
      <c r="B80" s="26"/>
      <c r="C80" s="26"/>
      <c r="D80" s="26"/>
      <c r="E80" s="26"/>
      <c r="F80" s="26"/>
      <c r="G80" s="26"/>
    </row>
    <row r="81" spans="1:7" ht="15" customHeight="1">
      <c r="A81" s="26" t="s">
        <v>292</v>
      </c>
      <c r="B81" s="26"/>
      <c r="C81" s="26"/>
      <c r="D81" s="26"/>
      <c r="E81" s="26"/>
      <c r="F81" s="26"/>
      <c r="G81" s="26"/>
    </row>
    <row r="82" spans="1:7" ht="15" customHeight="1">
      <c r="A82" s="26" t="s">
        <v>293</v>
      </c>
      <c r="B82" s="26"/>
      <c r="C82" s="26"/>
      <c r="D82" s="26"/>
      <c r="E82" s="26"/>
      <c r="F82" s="26"/>
      <c r="G82" s="26"/>
    </row>
    <row r="83" spans="1:7" ht="15" customHeight="1">
      <c r="A83" s="26" t="s">
        <v>294</v>
      </c>
      <c r="B83" s="26"/>
      <c r="C83" s="26"/>
      <c r="D83" s="26"/>
      <c r="E83" s="26"/>
      <c r="F83" s="26"/>
      <c r="G83" s="26"/>
    </row>
    <row r="84" spans="1:7" ht="15" customHeight="1">
      <c r="A84" s="26" t="s">
        <v>295</v>
      </c>
      <c r="B84" s="26"/>
      <c r="C84" s="26"/>
      <c r="D84" s="26"/>
      <c r="E84" s="26"/>
      <c r="F84" s="26"/>
      <c r="G84" s="26"/>
    </row>
    <row r="85" spans="1:7" ht="15" customHeight="1">
      <c r="A85" s="26" t="s">
        <v>296</v>
      </c>
      <c r="B85" s="26"/>
      <c r="C85" s="26"/>
      <c r="D85" s="26"/>
      <c r="E85" s="26"/>
      <c r="F85" s="26"/>
      <c r="G85" s="26"/>
    </row>
    <row r="86" spans="1:7" ht="15" customHeight="1">
      <c r="A86" s="26" t="s">
        <v>297</v>
      </c>
      <c r="B86" s="26"/>
      <c r="C86" s="26"/>
      <c r="D86" s="26"/>
      <c r="E86" s="26"/>
      <c r="F86" s="26"/>
      <c r="G86" s="26"/>
    </row>
    <row r="87" spans="1:7" ht="15" customHeight="1">
      <c r="A87" s="26" t="s">
        <v>298</v>
      </c>
      <c r="B87" s="26"/>
      <c r="C87" s="26"/>
      <c r="D87" s="26"/>
      <c r="E87" s="26"/>
      <c r="F87" s="26"/>
      <c r="G87" s="26"/>
    </row>
    <row r="88" spans="1:7" ht="15" customHeight="1">
      <c r="A88" s="26" t="s">
        <v>299</v>
      </c>
      <c r="B88" s="26"/>
      <c r="C88" s="26"/>
      <c r="D88" s="26"/>
      <c r="E88" s="26"/>
      <c r="F88" s="26"/>
      <c r="G88" s="26"/>
    </row>
    <row r="89" spans="1:7" ht="15" customHeight="1">
      <c r="A89" s="26" t="s">
        <v>300</v>
      </c>
      <c r="B89" s="26"/>
      <c r="C89" s="26"/>
      <c r="D89" s="26"/>
      <c r="E89" s="26"/>
      <c r="F89" s="26"/>
      <c r="G89" s="26"/>
    </row>
    <row r="90" spans="1:7" ht="15" customHeight="1">
      <c r="A90" s="26" t="s">
        <v>301</v>
      </c>
      <c r="B90" s="26"/>
      <c r="C90" s="26"/>
      <c r="D90" s="26"/>
      <c r="E90" s="26"/>
      <c r="F90" s="26"/>
      <c r="G90" s="26"/>
    </row>
    <row r="91" spans="1:7" ht="15" customHeight="1">
      <c r="A91" s="26" t="s">
        <v>302</v>
      </c>
      <c r="B91" s="26"/>
      <c r="C91" s="26"/>
      <c r="D91" s="26"/>
      <c r="E91" s="26"/>
      <c r="F91" s="26"/>
      <c r="G91" s="26"/>
    </row>
    <row r="92" spans="1:7" ht="15" customHeight="1">
      <c r="A92" s="26" t="s">
        <v>303</v>
      </c>
      <c r="B92" s="26"/>
      <c r="C92" s="26"/>
      <c r="D92" s="26"/>
      <c r="E92" s="26"/>
      <c r="F92" s="26"/>
      <c r="G92" s="26"/>
    </row>
    <row r="93" spans="1:7" ht="15" customHeight="1">
      <c r="A93" s="26" t="s">
        <v>304</v>
      </c>
      <c r="B93" s="26"/>
      <c r="C93" s="26"/>
      <c r="D93" s="26"/>
      <c r="E93" s="26"/>
      <c r="F93" s="26"/>
      <c r="G93" s="26"/>
    </row>
    <row r="94" spans="1:7" ht="15" customHeight="1">
      <c r="A94" s="26" t="s">
        <v>305</v>
      </c>
      <c r="B94" s="26"/>
      <c r="C94" s="26"/>
      <c r="D94" s="26"/>
      <c r="E94" s="26"/>
      <c r="F94" s="26"/>
      <c r="G94" s="26"/>
    </row>
    <row r="95" spans="1:7" ht="15" customHeight="1">
      <c r="A95" s="26" t="s">
        <v>306</v>
      </c>
      <c r="B95" s="26"/>
      <c r="C95" s="26"/>
      <c r="D95" s="26"/>
      <c r="E95" s="26"/>
      <c r="F95" s="26"/>
      <c r="G95" s="26"/>
    </row>
    <row r="96" spans="1:7" ht="15" customHeight="1">
      <c r="A96" s="26" t="s">
        <v>307</v>
      </c>
      <c r="B96" s="26"/>
      <c r="C96" s="26"/>
      <c r="D96" s="26"/>
      <c r="E96" s="26"/>
      <c r="F96" s="26"/>
      <c r="G96" s="26"/>
    </row>
    <row r="97" spans="1:7" ht="15" customHeight="1">
      <c r="A97" s="26" t="s">
        <v>308</v>
      </c>
      <c r="B97" s="26"/>
      <c r="C97" s="26"/>
      <c r="D97" s="26"/>
      <c r="E97" s="26"/>
      <c r="F97" s="26"/>
      <c r="G97" s="26"/>
    </row>
    <row r="98" spans="1:7" ht="15" customHeight="1">
      <c r="A98" s="26" t="s">
        <v>309</v>
      </c>
      <c r="B98" s="26"/>
      <c r="C98" s="26"/>
      <c r="D98" s="26"/>
      <c r="E98" s="26"/>
      <c r="F98" s="26"/>
      <c r="G98" s="26"/>
    </row>
    <row r="99" spans="1:7" ht="15" customHeight="1">
      <c r="A99" s="26" t="s">
        <v>310</v>
      </c>
      <c r="B99" s="26"/>
      <c r="C99" s="26"/>
      <c r="D99" s="26"/>
      <c r="E99" s="26"/>
      <c r="F99" s="26"/>
      <c r="G99" s="26"/>
    </row>
    <row r="100" spans="1:7" ht="15" customHeight="1">
      <c r="A100" s="26" t="s">
        <v>311</v>
      </c>
      <c r="B100" s="26"/>
      <c r="C100" s="26"/>
      <c r="D100" s="26"/>
      <c r="E100" s="26"/>
      <c r="F100" s="26"/>
      <c r="G100" s="26"/>
    </row>
    <row r="101" spans="1:7" ht="15" customHeight="1">
      <c r="A101" s="26" t="s">
        <v>312</v>
      </c>
      <c r="B101" s="26"/>
      <c r="C101" s="26"/>
      <c r="D101" s="26"/>
      <c r="E101" s="26"/>
      <c r="F101" s="26"/>
      <c r="G101" s="26"/>
    </row>
    <row r="102" spans="1:7" ht="15" customHeight="1">
      <c r="A102" s="26" t="s">
        <v>313</v>
      </c>
      <c r="B102" s="26"/>
      <c r="C102" s="26"/>
      <c r="D102" s="26"/>
      <c r="E102" s="26"/>
      <c r="F102" s="26"/>
      <c r="G102" s="26"/>
    </row>
    <row r="103" spans="1:7" ht="15" customHeight="1">
      <c r="A103" s="26" t="s">
        <v>314</v>
      </c>
      <c r="B103" s="26"/>
      <c r="C103" s="26"/>
      <c r="D103" s="26"/>
      <c r="E103" s="26"/>
      <c r="F103" s="26"/>
      <c r="G103" s="26"/>
    </row>
    <row r="104" spans="1:7" ht="15" customHeight="1">
      <c r="A104" s="26" t="s">
        <v>315</v>
      </c>
      <c r="B104" s="26"/>
      <c r="C104" s="26"/>
      <c r="D104" s="26"/>
      <c r="E104" s="26"/>
      <c r="F104" s="26"/>
      <c r="G104" s="26"/>
    </row>
    <row r="105" spans="1:7" ht="15" customHeight="1">
      <c r="A105" s="26" t="s">
        <v>316</v>
      </c>
      <c r="B105" s="26"/>
      <c r="C105" s="26"/>
      <c r="D105" s="26"/>
      <c r="E105" s="26"/>
      <c r="F105" s="26"/>
      <c r="G105" s="26"/>
    </row>
    <row r="106" spans="1:7" ht="15" customHeight="1">
      <c r="A106" s="26" t="s">
        <v>317</v>
      </c>
      <c r="B106" s="26"/>
      <c r="C106" s="26"/>
      <c r="D106" s="26"/>
      <c r="E106" s="26"/>
      <c r="F106" s="26"/>
      <c r="G106" s="26"/>
    </row>
    <row r="107" spans="1:7" ht="15" customHeight="1">
      <c r="A107" s="26" t="s">
        <v>318</v>
      </c>
      <c r="B107" s="26"/>
      <c r="C107" s="26"/>
      <c r="D107" s="26"/>
      <c r="E107" s="26"/>
      <c r="F107" s="26"/>
      <c r="G107" s="26"/>
    </row>
    <row r="108" spans="1:7" ht="15" customHeight="1">
      <c r="A108" s="26" t="s">
        <v>319</v>
      </c>
      <c r="B108" s="26"/>
      <c r="C108" s="26"/>
      <c r="D108" s="26"/>
      <c r="E108" s="26"/>
      <c r="F108" s="26"/>
      <c r="G108" s="26"/>
    </row>
    <row r="109" spans="1:7" ht="15" customHeight="1">
      <c r="A109" s="26" t="s">
        <v>320</v>
      </c>
      <c r="B109" s="26"/>
      <c r="C109" s="26"/>
      <c r="D109" s="26"/>
      <c r="E109" s="26"/>
      <c r="F109" s="26"/>
      <c r="G109" s="26"/>
    </row>
    <row r="110" spans="1:7" ht="15" customHeight="1">
      <c r="A110" s="26" t="s">
        <v>321</v>
      </c>
      <c r="B110" s="26"/>
      <c r="C110" s="26"/>
      <c r="D110" s="26"/>
      <c r="E110" s="26"/>
      <c r="F110" s="26"/>
      <c r="G110" s="26"/>
    </row>
    <row r="111" spans="1:7" ht="15" customHeight="1">
      <c r="A111" s="26" t="s">
        <v>322</v>
      </c>
      <c r="B111" s="26"/>
      <c r="C111" s="26"/>
      <c r="D111" s="26"/>
      <c r="E111" s="26"/>
      <c r="F111" s="26"/>
      <c r="G111" s="26"/>
    </row>
    <row r="112" spans="1:7" ht="15" customHeight="1">
      <c r="A112" s="26" t="s">
        <v>323</v>
      </c>
      <c r="B112" s="26"/>
      <c r="C112" s="26"/>
      <c r="D112" s="26"/>
      <c r="E112" s="26"/>
      <c r="F112" s="26"/>
      <c r="G112" s="26"/>
    </row>
    <row r="113" spans="1:7" ht="15" customHeight="1">
      <c r="A113" s="26" t="s">
        <v>324</v>
      </c>
      <c r="B113" s="26"/>
      <c r="C113" s="26"/>
      <c r="D113" s="26"/>
      <c r="E113" s="26"/>
      <c r="F113" s="26"/>
      <c r="G113" s="26"/>
    </row>
    <row r="114" spans="1:7" ht="15" customHeight="1">
      <c r="A114" s="26" t="s">
        <v>325</v>
      </c>
      <c r="B114" s="26"/>
      <c r="C114" s="26"/>
      <c r="D114" s="26"/>
      <c r="E114" s="26"/>
      <c r="F114" s="26"/>
      <c r="G114" s="26"/>
    </row>
    <row r="115" spans="1:7" ht="15" customHeight="1">
      <c r="A115" s="26" t="s">
        <v>326</v>
      </c>
      <c r="B115" s="26"/>
      <c r="C115" s="26"/>
      <c r="D115" s="26"/>
      <c r="E115" s="26"/>
      <c r="F115" s="26"/>
      <c r="G115" s="26"/>
    </row>
    <row r="116" spans="1:7" ht="15" customHeight="1">
      <c r="A116" s="26" t="s">
        <v>327</v>
      </c>
      <c r="B116" s="26"/>
      <c r="C116" s="26"/>
      <c r="D116" s="26"/>
      <c r="E116" s="26"/>
      <c r="F116" s="26"/>
      <c r="G116" s="26"/>
    </row>
    <row r="117" spans="1:7" ht="15" customHeight="1">
      <c r="A117" s="26" t="s">
        <v>328</v>
      </c>
      <c r="B117" s="26"/>
      <c r="C117" s="26"/>
      <c r="D117" s="26"/>
      <c r="E117" s="26"/>
      <c r="F117" s="26"/>
      <c r="G117" s="26"/>
    </row>
    <row r="118" spans="1:7" ht="15" customHeight="1">
      <c r="A118" s="26" t="s">
        <v>329</v>
      </c>
      <c r="B118" s="26"/>
      <c r="C118" s="26"/>
      <c r="D118" s="26"/>
      <c r="E118" s="26"/>
      <c r="F118" s="26"/>
      <c r="G118" s="26"/>
    </row>
    <row r="119" spans="1:7" ht="15" customHeight="1">
      <c r="A119" s="26" t="s">
        <v>330</v>
      </c>
      <c r="B119" s="26"/>
      <c r="C119" s="26"/>
      <c r="D119" s="26"/>
      <c r="E119" s="26"/>
      <c r="F119" s="26"/>
      <c r="G119" s="26"/>
    </row>
    <row r="120" spans="1:7" ht="15" customHeight="1">
      <c r="A120" s="26" t="s">
        <v>331</v>
      </c>
      <c r="B120" s="26"/>
      <c r="C120" s="26"/>
      <c r="D120" s="26"/>
      <c r="E120" s="26"/>
      <c r="F120" s="26"/>
      <c r="G120" s="26"/>
    </row>
    <row r="121" spans="1:7" ht="15" customHeight="1">
      <c r="A121" s="26" t="s">
        <v>332</v>
      </c>
      <c r="B121" s="26"/>
      <c r="C121" s="26"/>
      <c r="D121" s="26"/>
      <c r="E121" s="26"/>
      <c r="F121" s="26"/>
      <c r="G121" s="26"/>
    </row>
    <row r="122" spans="1:7" ht="15" customHeight="1">
      <c r="A122" s="26" t="s">
        <v>333</v>
      </c>
      <c r="B122" s="26"/>
      <c r="C122" s="26"/>
      <c r="D122" s="26"/>
      <c r="E122" s="26"/>
      <c r="F122" s="26"/>
      <c r="G122" s="26"/>
    </row>
    <row r="123" spans="1:7" ht="15" customHeight="1">
      <c r="A123" s="26" t="s">
        <v>334</v>
      </c>
      <c r="B123" s="26"/>
      <c r="C123" s="26"/>
      <c r="D123" s="26"/>
      <c r="E123" s="26"/>
      <c r="F123" s="26"/>
      <c r="G123" s="26"/>
    </row>
  </sheetData>
  <sheetProtection/>
  <mergeCells count="62">
    <mergeCell ref="A67:G67"/>
    <mergeCell ref="A4:A5"/>
    <mergeCell ref="B4:B5"/>
    <mergeCell ref="F4:F5"/>
    <mergeCell ref="G4:G5"/>
    <mergeCell ref="A66:G66"/>
    <mergeCell ref="A79:G79"/>
    <mergeCell ref="A68:G68"/>
    <mergeCell ref="A69:G69"/>
    <mergeCell ref="A70:G70"/>
    <mergeCell ref="A71:G71"/>
    <mergeCell ref="A72:G72"/>
    <mergeCell ref="A73:G73"/>
    <mergeCell ref="A74:G74"/>
    <mergeCell ref="A75:G75"/>
    <mergeCell ref="A76:G76"/>
    <mergeCell ref="A77:G77"/>
    <mergeCell ref="A78:G78"/>
    <mergeCell ref="A91:G91"/>
    <mergeCell ref="A80:G80"/>
    <mergeCell ref="A81:G81"/>
    <mergeCell ref="A82:G82"/>
    <mergeCell ref="A83:G83"/>
    <mergeCell ref="A84:G84"/>
    <mergeCell ref="A85:G85"/>
    <mergeCell ref="A86:G86"/>
    <mergeCell ref="A87:G87"/>
    <mergeCell ref="A88:G88"/>
    <mergeCell ref="A89:G89"/>
    <mergeCell ref="A90:G90"/>
    <mergeCell ref="A103:G103"/>
    <mergeCell ref="A92:G92"/>
    <mergeCell ref="A93:G93"/>
    <mergeCell ref="A94:G94"/>
    <mergeCell ref="A95:G95"/>
    <mergeCell ref="A96:G96"/>
    <mergeCell ref="A97:G97"/>
    <mergeCell ref="A98:G98"/>
    <mergeCell ref="A99:G99"/>
    <mergeCell ref="A100:G100"/>
    <mergeCell ref="A101:G101"/>
    <mergeCell ref="A102:G102"/>
    <mergeCell ref="A115:G115"/>
    <mergeCell ref="A104:G104"/>
    <mergeCell ref="A105:G105"/>
    <mergeCell ref="A106:G106"/>
    <mergeCell ref="A107:G107"/>
    <mergeCell ref="A108:G108"/>
    <mergeCell ref="A109:G109"/>
    <mergeCell ref="A110:G110"/>
    <mergeCell ref="A111:G111"/>
    <mergeCell ref="A112:G112"/>
    <mergeCell ref="A113:G113"/>
    <mergeCell ref="A114:G114"/>
    <mergeCell ref="A122:G122"/>
    <mergeCell ref="A123:G123"/>
    <mergeCell ref="A116:G116"/>
    <mergeCell ref="A117:G117"/>
    <mergeCell ref="A118:G118"/>
    <mergeCell ref="A119:G119"/>
    <mergeCell ref="A120:G120"/>
    <mergeCell ref="A121:G121"/>
  </mergeCells>
  <printOptions/>
  <pageMargins left="0.7" right="0.7" top="0.75" bottom="0.75" header="0.3" footer="0.3"/>
  <pageSetup fitToHeight="1" fitToWidth="1"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335</v>
      </c>
      <c r="B1" s="10"/>
      <c r="C1" s="10"/>
      <c r="D1" s="10"/>
      <c r="E1" s="10"/>
      <c r="F1" s="10"/>
      <c r="G1" s="12" t="s">
        <v>336</v>
      </c>
    </row>
    <row r="2" spans="1:7" ht="12.75">
      <c r="A2" s="13" t="s">
        <v>337</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131920</v>
      </c>
      <c r="C6" s="17">
        <v>0</v>
      </c>
      <c r="D6" s="17">
        <v>134455</v>
      </c>
      <c r="E6" s="17">
        <v>134455</v>
      </c>
      <c r="F6" s="17">
        <v>131882</v>
      </c>
      <c r="G6" s="18">
        <f>IF(AND(F65&lt;&gt;212000,131882&lt;&gt;0),IF(100*131882/(F65-212000)&lt;0.005,"*",100*131882/(F65-212000)),0)</f>
        <v>3.026899242598118</v>
      </c>
    </row>
    <row r="7" spans="1:7" ht="12.75">
      <c r="A7" s="11" t="s">
        <v>89</v>
      </c>
      <c r="B7" s="17">
        <v>9497</v>
      </c>
      <c r="C7" s="17">
        <v>0</v>
      </c>
      <c r="D7" s="17">
        <v>9680</v>
      </c>
      <c r="E7" s="17">
        <v>9680</v>
      </c>
      <c r="F7" s="17">
        <v>9494</v>
      </c>
      <c r="G7" s="18">
        <f>IF(AND(F65&lt;&gt;212000,9494&lt;&gt;0),IF(100*9494/(F65-212000)&lt;0.005,"*",100*9494/(F65-212000)),0)</f>
        <v>0.21790222630250172</v>
      </c>
    </row>
    <row r="8" spans="1:7" ht="12.75">
      <c r="A8" s="11" t="s">
        <v>90</v>
      </c>
      <c r="B8" s="17">
        <v>21716</v>
      </c>
      <c r="C8" s="17">
        <v>0</v>
      </c>
      <c r="D8" s="17">
        <v>22133</v>
      </c>
      <c r="E8" s="17">
        <v>22133</v>
      </c>
      <c r="F8" s="17">
        <v>21710</v>
      </c>
      <c r="G8" s="18">
        <f>IF(AND(F65&lt;&gt;212000,21710&lt;&gt;0),IF(100*21710/(F65-212000)&lt;0.005,"*",100*21710/(F65-212000)),0)</f>
        <v>0.4982786320862979</v>
      </c>
    </row>
    <row r="9" spans="1:7" ht="12.75">
      <c r="A9" s="11" t="s">
        <v>91</v>
      </c>
      <c r="B9" s="17">
        <v>33270</v>
      </c>
      <c r="C9" s="17">
        <v>0</v>
      </c>
      <c r="D9" s="17">
        <v>33910</v>
      </c>
      <c r="E9" s="17">
        <v>33910</v>
      </c>
      <c r="F9" s="17">
        <v>33261</v>
      </c>
      <c r="G9" s="18">
        <f>IF(AND(F65&lt;&gt;212000,33261&lt;&gt;0),IF(100*33261/(F65-212000)&lt;0.005,"*",100*33261/(F65-212000)),0)</f>
        <v>0.7633922423686023</v>
      </c>
    </row>
    <row r="10" spans="1:7" ht="12.75">
      <c r="A10" s="11" t="s">
        <v>92</v>
      </c>
      <c r="B10" s="17">
        <v>132832</v>
      </c>
      <c r="C10" s="17">
        <v>0</v>
      </c>
      <c r="D10" s="17">
        <v>135384</v>
      </c>
      <c r="E10" s="17">
        <v>135384</v>
      </c>
      <c r="F10" s="17">
        <v>132794</v>
      </c>
      <c r="G10" s="18">
        <f>IF(AND(F65&lt;&gt;212000,132794&lt;&gt;0),IF(100*132794/(F65-212000)&lt;0.005,"*",100*132794/(F65-212000)),0)</f>
        <v>3.0478310764287353</v>
      </c>
    </row>
    <row r="11" spans="1:7" ht="12.75">
      <c r="A11" s="11" t="s">
        <v>93</v>
      </c>
      <c r="B11" s="17">
        <v>29263</v>
      </c>
      <c r="C11" s="17">
        <v>0</v>
      </c>
      <c r="D11" s="17">
        <v>29825</v>
      </c>
      <c r="E11" s="17">
        <v>29825</v>
      </c>
      <c r="F11" s="17">
        <v>29254</v>
      </c>
      <c r="G11" s="18">
        <f>IF(AND(F65&lt;&gt;212000,29254&lt;&gt;0),IF(100*29254/(F65-212000)&lt;0.005,"*",100*29254/(F65-212000)),0)</f>
        <v>0.6714252926325454</v>
      </c>
    </row>
    <row r="12" spans="1:7" ht="12.75">
      <c r="A12" s="11" t="s">
        <v>94</v>
      </c>
      <c r="B12" s="17">
        <v>64759</v>
      </c>
      <c r="C12" s="17">
        <v>0</v>
      </c>
      <c r="D12" s="17">
        <v>66003</v>
      </c>
      <c r="E12" s="17">
        <v>66003</v>
      </c>
      <c r="F12" s="17">
        <v>64740</v>
      </c>
      <c r="G12" s="18">
        <f>IF(AND(F65&lt;&gt;212000,64740&lt;&gt;0),IF(100*64740/(F65-212000)&lt;0.005,"*",100*64740/(F65-212000)),0)</f>
        <v>1.485884783107643</v>
      </c>
    </row>
    <row r="13" spans="1:7" ht="12.75">
      <c r="A13" s="11" t="s">
        <v>95</v>
      </c>
      <c r="B13" s="17">
        <v>10640</v>
      </c>
      <c r="C13" s="17">
        <v>0</v>
      </c>
      <c r="D13" s="17">
        <v>10845</v>
      </c>
      <c r="E13" s="17">
        <v>10845</v>
      </c>
      <c r="F13" s="17">
        <v>10637</v>
      </c>
      <c r="G13" s="18">
        <f>IF(AND(F65&lt;&gt;212000,10637&lt;&gt;0),IF(100*10637/(F65-212000)&lt;0.005,"*",100*10637/(F65-212000)),0)</f>
        <v>0.24413587330732156</v>
      </c>
    </row>
    <row r="14" spans="1:7" ht="12.75">
      <c r="A14" s="11" t="s">
        <v>96</v>
      </c>
      <c r="B14" s="17">
        <v>49033</v>
      </c>
      <c r="C14" s="17">
        <v>0</v>
      </c>
      <c r="D14" s="17">
        <v>49975</v>
      </c>
      <c r="E14" s="17">
        <v>49975</v>
      </c>
      <c r="F14" s="17">
        <v>49019</v>
      </c>
      <c r="G14" s="18">
        <f>IF(AND(F65&lt;&gt;212000,49019&lt;&gt;0),IF(100*49019/(F65-212000)&lt;0.005,"*",100*49019/(F65-212000)),0)</f>
        <v>1.1250631168235024</v>
      </c>
    </row>
    <row r="15" spans="1:7" ht="12.75">
      <c r="A15" s="11" t="s">
        <v>97</v>
      </c>
      <c r="B15" s="17">
        <v>125287</v>
      </c>
      <c r="C15" s="17">
        <v>0</v>
      </c>
      <c r="D15" s="17">
        <v>127694</v>
      </c>
      <c r="E15" s="17">
        <v>127694</v>
      </c>
      <c r="F15" s="17">
        <v>125250</v>
      </c>
      <c r="G15" s="18">
        <f>IF(AND(F65&lt;&gt;212000,125250&lt;&gt;0),IF(100*125250/(F65-212000)&lt;0.005,"*",100*125250/(F65-212000)),0)</f>
        <v>2.874684415882488</v>
      </c>
    </row>
    <row r="16" spans="1:7" ht="12.75">
      <c r="A16" s="11" t="s">
        <v>98</v>
      </c>
      <c r="B16" s="17">
        <v>123377</v>
      </c>
      <c r="C16" s="17">
        <v>0</v>
      </c>
      <c r="D16" s="17">
        <v>125748</v>
      </c>
      <c r="E16" s="17">
        <v>125748</v>
      </c>
      <c r="F16" s="17">
        <v>123341</v>
      </c>
      <c r="G16" s="18">
        <f>IF(AND(F65&lt;&gt;212000,123341&lt;&gt;0),IF(100*123341/(F65-212000)&lt;0.005,"*",100*123341/(F65-212000)),0)</f>
        <v>2.830869864585724</v>
      </c>
    </row>
    <row r="17" spans="1:7" ht="12.75">
      <c r="A17" s="11" t="s">
        <v>99</v>
      </c>
      <c r="B17" s="17">
        <v>25273</v>
      </c>
      <c r="C17" s="17">
        <v>0</v>
      </c>
      <c r="D17" s="17">
        <v>25759</v>
      </c>
      <c r="E17" s="17">
        <v>25759</v>
      </c>
      <c r="F17" s="17">
        <v>25266</v>
      </c>
      <c r="G17" s="18">
        <f>IF(AND(F65&lt;&gt;212000,25266&lt;&gt;0),IF(100*25266/(F65-212000)&lt;0.005,"*",100*25266/(F65-212000)),0)</f>
        <v>0.5798944227679595</v>
      </c>
    </row>
    <row r="18" spans="1:7" ht="12.75">
      <c r="A18" s="11" t="s">
        <v>100</v>
      </c>
      <c r="B18" s="17">
        <v>1400</v>
      </c>
      <c r="C18" s="17">
        <v>0</v>
      </c>
      <c r="D18" s="17">
        <v>1427</v>
      </c>
      <c r="E18" s="17">
        <v>1427</v>
      </c>
      <c r="F18" s="17">
        <v>1399</v>
      </c>
      <c r="G18" s="18">
        <f>IF(AND(F65&lt;&gt;212000,1399&lt;&gt;0),IF(100*1399/(F65-212000)&lt;0.005,"*",100*1399/(F65-212000)),0)</f>
        <v>0.032109249483589626</v>
      </c>
    </row>
    <row r="19" spans="1:7" ht="12.75">
      <c r="A19" s="11" t="s">
        <v>101</v>
      </c>
      <c r="B19" s="17">
        <v>246988</v>
      </c>
      <c r="C19" s="17">
        <v>0</v>
      </c>
      <c r="D19" s="17">
        <v>251733</v>
      </c>
      <c r="E19" s="17">
        <v>251733</v>
      </c>
      <c r="F19" s="17">
        <v>246916</v>
      </c>
      <c r="G19" s="18">
        <f>IF(AND(F65&lt;&gt;212000,246916&lt;&gt;0),IF(100*246916/(F65-212000)&lt;0.005,"*",100*246916/(F65-212000)),0)</f>
        <v>5.667110397062198</v>
      </c>
    </row>
    <row r="20" spans="1:7" ht="12.75">
      <c r="A20" s="11" t="s">
        <v>102</v>
      </c>
      <c r="B20" s="17">
        <v>46345</v>
      </c>
      <c r="C20" s="17">
        <v>0</v>
      </c>
      <c r="D20" s="17">
        <v>47235</v>
      </c>
      <c r="E20" s="17">
        <v>47235</v>
      </c>
      <c r="F20" s="17">
        <v>46332</v>
      </c>
      <c r="G20" s="18">
        <f>IF(AND(F65&lt;&gt;212000,46332&lt;&gt;0),IF(100*46332/(F65-212000)&lt;0.005,"*",100*46332/(F65-212000)),0)</f>
        <v>1.0633922423686022</v>
      </c>
    </row>
    <row r="21" spans="1:7" ht="12.75">
      <c r="A21" s="11" t="s">
        <v>103</v>
      </c>
      <c r="B21" s="17">
        <v>6688</v>
      </c>
      <c r="C21" s="17">
        <v>0</v>
      </c>
      <c r="D21" s="17">
        <v>6816</v>
      </c>
      <c r="E21" s="17">
        <v>6816</v>
      </c>
      <c r="F21" s="17">
        <v>6686</v>
      </c>
      <c r="G21" s="18">
        <f>IF(AND(F65&lt;&gt;212000,6686&lt;&gt;0),IF(100*6686/(F65-212000)&lt;0.005,"*",100*6686/(F65-212000)),0)</f>
        <v>0.1534542116134955</v>
      </c>
    </row>
    <row r="22" spans="1:7" ht="12.75">
      <c r="A22" s="11" t="s">
        <v>104</v>
      </c>
      <c r="B22" s="17">
        <v>20783</v>
      </c>
      <c r="C22" s="17">
        <v>0</v>
      </c>
      <c r="D22" s="17">
        <v>21182</v>
      </c>
      <c r="E22" s="17">
        <v>21182</v>
      </c>
      <c r="F22" s="17">
        <v>20777</v>
      </c>
      <c r="G22" s="18">
        <f>IF(AND(F65&lt;&gt;212000,20777&lt;&gt;0),IF(100*20777/(F65-212000)&lt;0.005,"*",100*20777/(F65-212000)),0)</f>
        <v>0.4768648152398439</v>
      </c>
    </row>
    <row r="23" spans="1:7" ht="12.75">
      <c r="A23" s="11" t="s">
        <v>105</v>
      </c>
      <c r="B23" s="17">
        <v>58474</v>
      </c>
      <c r="C23" s="17">
        <v>0</v>
      </c>
      <c r="D23" s="17">
        <v>59598</v>
      </c>
      <c r="E23" s="17">
        <v>59598</v>
      </c>
      <c r="F23" s="17">
        <v>58457</v>
      </c>
      <c r="G23" s="18">
        <f>IF(AND(F65&lt;&gt;212000,58457&lt;&gt;0),IF(100*58457/(F65-212000)&lt;0.005,"*",100*58457/(F65-212000)),0)</f>
        <v>1.3416800550837733</v>
      </c>
    </row>
    <row r="24" spans="1:7" ht="12.75">
      <c r="A24" s="11" t="s">
        <v>106</v>
      </c>
      <c r="B24" s="17">
        <v>65204</v>
      </c>
      <c r="C24" s="17">
        <v>0</v>
      </c>
      <c r="D24" s="17">
        <v>66456</v>
      </c>
      <c r="E24" s="17">
        <v>66456</v>
      </c>
      <c r="F24" s="17">
        <v>65185</v>
      </c>
      <c r="G24" s="18">
        <f>IF(AND(F65&lt;&gt;212000,65185&lt;&gt;0),IF(100*65185/(F65-212000)&lt;0.005,"*",100*65185/(F65-212000)),0)</f>
        <v>1.4960982327289418</v>
      </c>
    </row>
    <row r="25" spans="1:7" ht="12.75">
      <c r="A25" s="11" t="s">
        <v>107</v>
      </c>
      <c r="B25" s="17">
        <v>14403</v>
      </c>
      <c r="C25" s="17">
        <v>0</v>
      </c>
      <c r="D25" s="17">
        <v>14680</v>
      </c>
      <c r="E25" s="17">
        <v>14680</v>
      </c>
      <c r="F25" s="17">
        <v>14399</v>
      </c>
      <c r="G25" s="18">
        <f>IF(AND(F65&lt;&gt;212000,14399&lt;&gt;0),IF(100*14399/(F65-212000)&lt;0.005,"*",100*14399/(F65-212000)),0)</f>
        <v>0.3304796878586183</v>
      </c>
    </row>
    <row r="26" spans="1:7" ht="12.75">
      <c r="A26" s="11" t="s">
        <v>108</v>
      </c>
      <c r="B26" s="17">
        <v>107628</v>
      </c>
      <c r="C26" s="17">
        <v>0</v>
      </c>
      <c r="D26" s="17">
        <v>109696</v>
      </c>
      <c r="E26" s="17">
        <v>109696</v>
      </c>
      <c r="F26" s="17">
        <v>107597</v>
      </c>
      <c r="G26" s="18">
        <f>IF(AND(F65&lt;&gt;212000,107597&lt;&gt;0),IF(100*107597/(F65-212000)&lt;0.005,"*",100*107597/(F65-212000)),0)</f>
        <v>2.469520312141382</v>
      </c>
    </row>
    <row r="27" spans="1:7" ht="12.75">
      <c r="A27" s="11" t="s">
        <v>109</v>
      </c>
      <c r="B27" s="17">
        <v>159804</v>
      </c>
      <c r="C27" s="17">
        <v>0</v>
      </c>
      <c r="D27" s="17">
        <v>162874</v>
      </c>
      <c r="E27" s="17">
        <v>162874</v>
      </c>
      <c r="F27" s="17">
        <v>159757</v>
      </c>
      <c r="G27" s="18">
        <f>IF(AND(F65&lt;&gt;212000,159757&lt;&gt;0),IF(100*159757/(F65-212000)&lt;0.005,"*",100*159757/(F65-212000)),0)</f>
        <v>3.6666743171907275</v>
      </c>
    </row>
    <row r="28" spans="1:7" ht="12.75">
      <c r="A28" s="11" t="s">
        <v>110</v>
      </c>
      <c r="B28" s="17">
        <v>67929</v>
      </c>
      <c r="C28" s="17">
        <v>0</v>
      </c>
      <c r="D28" s="17">
        <v>69234</v>
      </c>
      <c r="E28" s="17">
        <v>69234</v>
      </c>
      <c r="F28" s="17">
        <v>67909</v>
      </c>
      <c r="G28" s="18">
        <f>IF(AND(F65&lt;&gt;212000,67909&lt;&gt;0),IF(100*67909/(F65-212000)&lt;0.005,"*",100*67909/(F65-212000)),0)</f>
        <v>1.5586183153546018</v>
      </c>
    </row>
    <row r="29" spans="1:7" ht="12.75">
      <c r="A29" s="11" t="s">
        <v>111</v>
      </c>
      <c r="B29" s="17">
        <v>49870</v>
      </c>
      <c r="C29" s="17">
        <v>0</v>
      </c>
      <c r="D29" s="17">
        <v>50828</v>
      </c>
      <c r="E29" s="17">
        <v>50828</v>
      </c>
      <c r="F29" s="17">
        <v>49855</v>
      </c>
      <c r="G29" s="18">
        <f>IF(AND(F65&lt;&gt;212000,49855&lt;&gt;0),IF(100*49855/(F65-212000)&lt;0.005,"*",100*49855/(F65-212000)),0)</f>
        <v>1.144250631168235</v>
      </c>
    </row>
    <row r="30" spans="1:7" ht="12.75">
      <c r="A30" s="11" t="s">
        <v>112</v>
      </c>
      <c r="B30" s="17">
        <v>27419</v>
      </c>
      <c r="C30" s="17">
        <v>0</v>
      </c>
      <c r="D30" s="17">
        <v>27946</v>
      </c>
      <c r="E30" s="17">
        <v>27946</v>
      </c>
      <c r="F30" s="17">
        <v>27411</v>
      </c>
      <c r="G30" s="18">
        <f>IF(AND(F65&lt;&gt;212000,27411&lt;&gt;0),IF(100*27411/(F65-212000)&lt;0.005,"*",100*27411/(F65-212000)),0)</f>
        <v>0.6291255450998393</v>
      </c>
    </row>
    <row r="31" spans="1:7" ht="12.75">
      <c r="A31" s="11" t="s">
        <v>113</v>
      </c>
      <c r="B31" s="17">
        <v>42457</v>
      </c>
      <c r="C31" s="17">
        <v>0</v>
      </c>
      <c r="D31" s="17">
        <v>43273</v>
      </c>
      <c r="E31" s="17">
        <v>43273</v>
      </c>
      <c r="F31" s="17">
        <v>42445</v>
      </c>
      <c r="G31" s="18">
        <f>IF(AND(F65&lt;&gt;212000,42445&lt;&gt;0),IF(100*42445/(F65-212000)&lt;0.005,"*",100*42445/(F65-212000)),0)</f>
        <v>0.9741794812944686</v>
      </c>
    </row>
    <row r="32" spans="1:7" ht="12.75">
      <c r="A32" s="11" t="s">
        <v>114</v>
      </c>
      <c r="B32" s="17">
        <v>5335</v>
      </c>
      <c r="C32" s="17">
        <v>0</v>
      </c>
      <c r="D32" s="17">
        <v>5437</v>
      </c>
      <c r="E32" s="17">
        <v>5437</v>
      </c>
      <c r="F32" s="17">
        <v>5333</v>
      </c>
      <c r="G32" s="18">
        <f>IF(AND(F65&lt;&gt;212000,5333&lt;&gt;0),IF(100*5333/(F65-212000)&lt;0.005,"*",100*5333/(F65-212000)),0)</f>
        <v>0.12240073445030984</v>
      </c>
    </row>
    <row r="33" spans="1:7" ht="12.75">
      <c r="A33" s="11" t="s">
        <v>115</v>
      </c>
      <c r="B33" s="17">
        <v>14773</v>
      </c>
      <c r="C33" s="17">
        <v>0</v>
      </c>
      <c r="D33" s="17">
        <v>15057</v>
      </c>
      <c r="E33" s="17">
        <v>15057</v>
      </c>
      <c r="F33" s="17">
        <v>14768</v>
      </c>
      <c r="G33" s="18">
        <f>IF(AND(F65&lt;&gt;212000,14768&lt;&gt;0),IF(100*14768/(F65-212000)&lt;0.005,"*",100*14768/(F65-212000)),0)</f>
        <v>0.3389488179940326</v>
      </c>
    </row>
    <row r="34" spans="1:7" ht="12.75">
      <c r="A34" s="11" t="s">
        <v>116</v>
      </c>
      <c r="B34" s="17">
        <v>16237</v>
      </c>
      <c r="C34" s="17">
        <v>0</v>
      </c>
      <c r="D34" s="17">
        <v>16549</v>
      </c>
      <c r="E34" s="17">
        <v>16549</v>
      </c>
      <c r="F34" s="17">
        <v>16232</v>
      </c>
      <c r="G34" s="18">
        <f>IF(AND(F65&lt;&gt;212000,16232&lt;&gt;0),IF(100*16232/(F65-212000)&lt;0.005,"*",100*16232/(F65-212000)),0)</f>
        <v>0.37254991966949735</v>
      </c>
    </row>
    <row r="35" spans="1:7" ht="12.75">
      <c r="A35" s="11" t="s">
        <v>117</v>
      </c>
      <c r="B35" s="17">
        <v>11744</v>
      </c>
      <c r="C35" s="17">
        <v>0</v>
      </c>
      <c r="D35" s="17">
        <v>11969</v>
      </c>
      <c r="E35" s="17">
        <v>11969</v>
      </c>
      <c r="F35" s="17">
        <v>11740</v>
      </c>
      <c r="G35" s="18">
        <f>IF(AND(F65&lt;&gt;212000,11740&lt;&gt;0),IF(100*11740/(F65-212000)&lt;0.005,"*",100*11740/(F65-212000)),0)</f>
        <v>0.2694514574248336</v>
      </c>
    </row>
    <row r="36" spans="1:7" ht="12.75">
      <c r="A36" s="11" t="s">
        <v>118</v>
      </c>
      <c r="B36" s="17">
        <v>163629</v>
      </c>
      <c r="C36" s="17">
        <v>0</v>
      </c>
      <c r="D36" s="17">
        <v>166773</v>
      </c>
      <c r="E36" s="17">
        <v>166773</v>
      </c>
      <c r="F36" s="17">
        <v>163581</v>
      </c>
      <c r="G36" s="18">
        <f>IF(AND(F65&lt;&gt;212000,163581&lt;&gt;0),IF(100*163581/(F65-212000)&lt;0.005,"*",100*163581/(F65-212000)),0)</f>
        <v>3.7544411292173514</v>
      </c>
    </row>
    <row r="37" spans="1:7" ht="12.75">
      <c r="A37" s="11" t="s">
        <v>119</v>
      </c>
      <c r="B37" s="17">
        <v>11384</v>
      </c>
      <c r="C37" s="17">
        <v>0</v>
      </c>
      <c r="D37" s="17">
        <v>11602</v>
      </c>
      <c r="E37" s="17">
        <v>11602</v>
      </c>
      <c r="F37" s="17">
        <v>11380</v>
      </c>
      <c r="G37" s="18">
        <f>IF(AND(F65&lt;&gt;212000,11380&lt;&gt;0),IF(100*11380/(F65-212000)&lt;0.005,"*",100*11380/(F65-212000)),0)</f>
        <v>0.2611888914390636</v>
      </c>
    </row>
    <row r="38" spans="1:7" ht="12.75">
      <c r="A38" s="11" t="s">
        <v>120</v>
      </c>
      <c r="B38" s="17">
        <v>1037711</v>
      </c>
      <c r="C38" s="17">
        <v>0</v>
      </c>
      <c r="D38" s="17">
        <v>1057648</v>
      </c>
      <c r="E38" s="17">
        <v>1057648</v>
      </c>
      <c r="F38" s="17">
        <v>1037409</v>
      </c>
      <c r="G38" s="18">
        <f>IF(AND(F65&lt;&gt;212000,1037409&lt;&gt;0),IF(100*1037409/(F65-212000)&lt;0.005,"*",100*1037409/(F65-212000)),0)</f>
        <v>23.810167546476933</v>
      </c>
    </row>
    <row r="39" spans="1:7" ht="12.75">
      <c r="A39" s="11" t="s">
        <v>121</v>
      </c>
      <c r="B39" s="17">
        <v>122827</v>
      </c>
      <c r="C39" s="17">
        <v>0</v>
      </c>
      <c r="D39" s="17">
        <v>125186</v>
      </c>
      <c r="E39" s="17">
        <v>125186</v>
      </c>
      <c r="F39" s="17">
        <v>122791</v>
      </c>
      <c r="G39" s="18">
        <f>IF(AND(F65&lt;&gt;212000,122791&lt;&gt;0),IF(100*122791/(F65-212000)&lt;0.005,"*",100*122791/(F65-212000)),0)</f>
        <v>2.8182464998852423</v>
      </c>
    </row>
    <row r="40" spans="1:7" ht="12.75">
      <c r="A40" s="11" t="s">
        <v>122</v>
      </c>
      <c r="B40" s="17">
        <v>3555</v>
      </c>
      <c r="C40" s="17">
        <v>0</v>
      </c>
      <c r="D40" s="17">
        <v>3623</v>
      </c>
      <c r="E40" s="17">
        <v>3623</v>
      </c>
      <c r="F40" s="17">
        <v>3554</v>
      </c>
      <c r="G40" s="18">
        <f>IF(AND(F65&lt;&gt;212000,3554&lt;&gt;0),IF(100*3554/(F65-212000)&lt;0.005,"*",100*3554/(F65-212000)),0)</f>
        <v>0.0815698875372963</v>
      </c>
    </row>
    <row r="41" spans="1:7" ht="12.75">
      <c r="A41" s="11" t="s">
        <v>123</v>
      </c>
      <c r="B41" s="17">
        <v>180454</v>
      </c>
      <c r="C41" s="17">
        <v>0</v>
      </c>
      <c r="D41" s="17">
        <v>183921</v>
      </c>
      <c r="E41" s="17">
        <v>183921</v>
      </c>
      <c r="F41" s="17">
        <v>180401</v>
      </c>
      <c r="G41" s="18">
        <f>IF(AND(F65&lt;&gt;212000,180401&lt;&gt;0),IF(100*180401/(F65-212000)&lt;0.005,"*",100*180401/(F65-212000)),0)</f>
        <v>4.140486573330273</v>
      </c>
    </row>
    <row r="42" spans="1:7" ht="12.75">
      <c r="A42" s="11" t="s">
        <v>124</v>
      </c>
      <c r="B42" s="17">
        <v>36521</v>
      </c>
      <c r="C42" s="17">
        <v>0</v>
      </c>
      <c r="D42" s="17">
        <v>37222</v>
      </c>
      <c r="E42" s="17">
        <v>37222</v>
      </c>
      <c r="F42" s="17">
        <v>36510</v>
      </c>
      <c r="G42" s="18">
        <f>IF(AND(F65&lt;&gt;212000,36510&lt;&gt;0),IF(100*36510/(F65-212000)&lt;0.005,"*",100*36510/(F65-212000)),0)</f>
        <v>0.8379619003901767</v>
      </c>
    </row>
    <row r="43" spans="1:7" ht="12.75">
      <c r="A43" s="11" t="s">
        <v>125</v>
      </c>
      <c r="B43" s="17">
        <v>20480</v>
      </c>
      <c r="C43" s="17">
        <v>0</v>
      </c>
      <c r="D43" s="17">
        <v>20873</v>
      </c>
      <c r="E43" s="17">
        <v>20873</v>
      </c>
      <c r="F43" s="17">
        <v>20474</v>
      </c>
      <c r="G43" s="18">
        <f>IF(AND(F65&lt;&gt;212000,20474&lt;&gt;0),IF(100*20474/(F65-212000)&lt;0.005,"*",100*20474/(F65-212000)),0)</f>
        <v>0.46991048886848746</v>
      </c>
    </row>
    <row r="44" spans="1:7" ht="12.75">
      <c r="A44" s="11" t="s">
        <v>126</v>
      </c>
      <c r="B44" s="17">
        <v>293655</v>
      </c>
      <c r="C44" s="17">
        <v>0</v>
      </c>
      <c r="D44" s="17">
        <v>299296</v>
      </c>
      <c r="E44" s="17">
        <v>299296</v>
      </c>
      <c r="F44" s="17">
        <v>293569</v>
      </c>
      <c r="G44" s="18">
        <f>IF(AND(F65&lt;&gt;212000,293569&lt;&gt;0),IF(100*293569/(F65-212000)&lt;0.005,"*",100*293569/(F65-212000)),0)</f>
        <v>6.737870094101446</v>
      </c>
    </row>
    <row r="45" spans="1:7" ht="12.75">
      <c r="A45" s="11" t="s">
        <v>127</v>
      </c>
      <c r="B45" s="17">
        <v>34756</v>
      </c>
      <c r="C45" s="17">
        <v>0</v>
      </c>
      <c r="D45" s="17">
        <v>35424</v>
      </c>
      <c r="E45" s="17">
        <v>35424</v>
      </c>
      <c r="F45" s="17">
        <v>34746</v>
      </c>
      <c r="G45" s="18">
        <f>IF(AND(F65&lt;&gt;212000,34746&lt;&gt;0),IF(100*34746/(F65-212000)&lt;0.005,"*",100*34746/(F65-212000)),0)</f>
        <v>0.7974753270599036</v>
      </c>
    </row>
    <row r="46" spans="1:7" ht="12.75">
      <c r="A46" s="11" t="s">
        <v>128</v>
      </c>
      <c r="B46" s="17">
        <v>49778</v>
      </c>
      <c r="C46" s="17">
        <v>0</v>
      </c>
      <c r="D46" s="17">
        <v>50734</v>
      </c>
      <c r="E46" s="17">
        <v>50734</v>
      </c>
      <c r="F46" s="17">
        <v>49763</v>
      </c>
      <c r="G46" s="18">
        <f>IF(AND(F65&lt;&gt;212000,49763&lt;&gt;0),IF(100*49763/(F65-212000)&lt;0.005,"*",100*49763/(F65-212000)),0)</f>
        <v>1.1421390865274272</v>
      </c>
    </row>
    <row r="47" spans="1:7" ht="12.75">
      <c r="A47" s="11" t="s">
        <v>129</v>
      </c>
      <c r="B47" s="17">
        <v>3029</v>
      </c>
      <c r="C47" s="17">
        <v>0</v>
      </c>
      <c r="D47" s="17">
        <v>3087</v>
      </c>
      <c r="E47" s="17">
        <v>3087</v>
      </c>
      <c r="F47" s="17">
        <v>3028</v>
      </c>
      <c r="G47" s="18">
        <f>IF(AND(F65&lt;&gt;212000,3028&lt;&gt;0),IF(100*3028/(F65-212000)&lt;0.005,"*",100*3028/(F65-212000)),0)</f>
        <v>0.06949736056919899</v>
      </c>
    </row>
    <row r="48" spans="1:7" ht="12.75">
      <c r="A48" s="11" t="s">
        <v>130</v>
      </c>
      <c r="B48" s="17">
        <v>108353</v>
      </c>
      <c r="C48" s="17">
        <v>0</v>
      </c>
      <c r="D48" s="17">
        <v>110434</v>
      </c>
      <c r="E48" s="17">
        <v>110434</v>
      </c>
      <c r="F48" s="17">
        <v>108321</v>
      </c>
      <c r="G48" s="18">
        <f>IF(AND(F65&lt;&gt;212000,108321&lt;&gt;0),IF(100*108321/(F65-212000)&lt;0.005,"*",100*108321/(F65-212000)),0)</f>
        <v>2.4861372504016526</v>
      </c>
    </row>
    <row r="49" spans="1:7" ht="12.75">
      <c r="A49" s="11" t="s">
        <v>131</v>
      </c>
      <c r="B49" s="17">
        <v>166529</v>
      </c>
      <c r="C49" s="17">
        <v>0</v>
      </c>
      <c r="D49" s="17">
        <v>169728</v>
      </c>
      <c r="E49" s="17">
        <v>169728</v>
      </c>
      <c r="F49" s="17">
        <v>166481</v>
      </c>
      <c r="G49" s="18">
        <f>IF(AND(F65&lt;&gt;212000,166481&lt;&gt;0),IF(100*166481/(F65-212000)&lt;0.005,"*",100*166481/(F65-212000)),0)</f>
        <v>3.8210006885471657</v>
      </c>
    </row>
    <row r="50" spans="1:7" ht="12.75">
      <c r="A50" s="11" t="s">
        <v>132</v>
      </c>
      <c r="B50" s="17">
        <v>3855</v>
      </c>
      <c r="C50" s="17">
        <v>0</v>
      </c>
      <c r="D50" s="17">
        <v>3929</v>
      </c>
      <c r="E50" s="17">
        <v>3929</v>
      </c>
      <c r="F50" s="17">
        <v>3854</v>
      </c>
      <c r="G50" s="18">
        <f>IF(AND(F65&lt;&gt;212000,3854&lt;&gt;0),IF(100*3854/(F65-212000)&lt;0.005,"*",100*3854/(F65-212000)),0)</f>
        <v>0.08845535919210466</v>
      </c>
    </row>
    <row r="51" spans="1:7" ht="12.75">
      <c r="A51" s="11" t="s">
        <v>133</v>
      </c>
      <c r="B51" s="17">
        <v>4160</v>
      </c>
      <c r="C51" s="17">
        <v>0</v>
      </c>
      <c r="D51" s="17">
        <v>4240</v>
      </c>
      <c r="E51" s="17">
        <v>4240</v>
      </c>
      <c r="F51" s="17">
        <v>4159</v>
      </c>
      <c r="G51" s="18">
        <f>IF(AND(F65&lt;&gt;212000,4159&lt;&gt;0),IF(100*4159/(F65-212000)&lt;0.005,"*",100*4159/(F65-212000)),0)</f>
        <v>0.09545558870782649</v>
      </c>
    </row>
    <row r="52" spans="1:7" ht="12.75">
      <c r="A52" s="11" t="s">
        <v>134</v>
      </c>
      <c r="B52" s="17">
        <v>69909</v>
      </c>
      <c r="C52" s="17">
        <v>0</v>
      </c>
      <c r="D52" s="17">
        <v>71252</v>
      </c>
      <c r="E52" s="17">
        <v>71252</v>
      </c>
      <c r="F52" s="17">
        <v>69888</v>
      </c>
      <c r="G52" s="18">
        <f>IF(AND(F65&lt;&gt;212000,69888&lt;&gt;0),IF(100*69888/(F65-212000)&lt;0.005,"*",100*69888/(F65-212000)),0)</f>
        <v>1.6040394767041541</v>
      </c>
    </row>
    <row r="53" spans="1:7" ht="12.75">
      <c r="A53" s="11" t="s">
        <v>135</v>
      </c>
      <c r="B53" s="17">
        <v>47310</v>
      </c>
      <c r="C53" s="17">
        <v>0</v>
      </c>
      <c r="D53" s="17">
        <v>48219</v>
      </c>
      <c r="E53" s="17">
        <v>48219</v>
      </c>
      <c r="F53" s="17">
        <v>47296</v>
      </c>
      <c r="G53" s="18">
        <f>IF(AND(F65&lt;&gt;212000,47296&lt;&gt;0),IF(100*47296/(F65-212000)&lt;0.005,"*",100*47296/(F65-212000)),0)</f>
        <v>1.0855175579527199</v>
      </c>
    </row>
    <row r="54" spans="1:7" ht="12.75">
      <c r="A54" s="11" t="s">
        <v>136</v>
      </c>
      <c r="B54" s="17">
        <v>16676</v>
      </c>
      <c r="C54" s="17">
        <v>0</v>
      </c>
      <c r="D54" s="17">
        <v>16996</v>
      </c>
      <c r="E54" s="17">
        <v>16996</v>
      </c>
      <c r="F54" s="17">
        <v>16671</v>
      </c>
      <c r="G54" s="18">
        <f>IF(AND(F65&lt;&gt;212000,16671&lt;&gt;0),IF(100*16671/(F65-212000)&lt;0.005,"*",100*16671/(F65-212000)),0)</f>
        <v>0.38262565985770025</v>
      </c>
    </row>
    <row r="55" spans="1:7" ht="12.75">
      <c r="A55" s="11" t="s">
        <v>137</v>
      </c>
      <c r="B55" s="17">
        <v>20121</v>
      </c>
      <c r="C55" s="17">
        <v>0</v>
      </c>
      <c r="D55" s="17">
        <v>20507</v>
      </c>
      <c r="E55" s="17">
        <v>20507</v>
      </c>
      <c r="F55" s="17">
        <v>20115</v>
      </c>
      <c r="G55" s="18">
        <f>IF(AND(F65&lt;&gt;212000,20115&lt;&gt;0),IF(100*20115/(F65-212000)&lt;0.005,"*",100*20115/(F65-212000)),0)</f>
        <v>0.4616708744549002</v>
      </c>
    </row>
    <row r="56" spans="1:7" ht="12.75">
      <c r="A56" s="11" t="s">
        <v>138</v>
      </c>
      <c r="B56" s="17">
        <v>1906</v>
      </c>
      <c r="C56" s="17">
        <v>0</v>
      </c>
      <c r="D56" s="17">
        <v>1943</v>
      </c>
      <c r="E56" s="17">
        <v>1943</v>
      </c>
      <c r="F56" s="17">
        <v>1906</v>
      </c>
      <c r="G56" s="18">
        <f>IF(AND(F65&lt;&gt;212000,1906&lt;&gt;0),IF(100*1906/(F65-212000)&lt;0.005,"*",100*1906/(F65-212000)),0)</f>
        <v>0.043745696580215744</v>
      </c>
    </row>
    <row r="57" spans="1:7" ht="12.75">
      <c r="A57" s="11" t="s">
        <v>139</v>
      </c>
      <c r="B57" s="17">
        <v>0</v>
      </c>
      <c r="C57" s="17">
        <v>0</v>
      </c>
      <c r="D57" s="17">
        <v>0</v>
      </c>
      <c r="E57" s="17">
        <v>0</v>
      </c>
      <c r="F57" s="17">
        <v>0</v>
      </c>
      <c r="G57" s="18">
        <f>IF(AND(F65&lt;&gt;212000,0&lt;&gt;0),IF(100*0/(F65-212000)&lt;0.005,"*",100*0/(F65-212000)),0)</f>
        <v>0</v>
      </c>
    </row>
    <row r="58" spans="1:7" ht="12.75">
      <c r="A58" s="11" t="s">
        <v>140</v>
      </c>
      <c r="B58" s="17">
        <v>3864</v>
      </c>
      <c r="C58" s="17">
        <v>0</v>
      </c>
      <c r="D58" s="17">
        <v>3939</v>
      </c>
      <c r="E58" s="17">
        <v>3939</v>
      </c>
      <c r="F58" s="17">
        <v>3863</v>
      </c>
      <c r="G58" s="18">
        <f>IF(AND(F65&lt;&gt;212000,3863&lt;&gt;0),IF(100*3863/(F65-212000)&lt;0.005,"*",100*3863/(F65-212000)),0)</f>
        <v>0.08866192334174891</v>
      </c>
    </row>
    <row r="59" spans="1:7" ht="12.75">
      <c r="A59" s="11" t="s">
        <v>141</v>
      </c>
      <c r="B59" s="17">
        <v>0</v>
      </c>
      <c r="C59" s="17">
        <v>0</v>
      </c>
      <c r="D59" s="17">
        <v>0</v>
      </c>
      <c r="E59" s="17">
        <v>0</v>
      </c>
      <c r="F59" s="17">
        <v>0</v>
      </c>
      <c r="G59" s="18">
        <f>IF(AND(F65&lt;&gt;212000,0&lt;&gt;0),IF(100*0/(F65-212000)&lt;0.005,"*",100*0/(F65-212000)),0)</f>
        <v>0</v>
      </c>
    </row>
    <row r="60" spans="1:7" ht="12.75">
      <c r="A60" s="11" t="s">
        <v>142</v>
      </c>
      <c r="B60" s="17">
        <v>215238</v>
      </c>
      <c r="C60" s="17">
        <v>0</v>
      </c>
      <c r="D60" s="17">
        <v>219374</v>
      </c>
      <c r="E60" s="17">
        <v>219374</v>
      </c>
      <c r="F60" s="17">
        <v>215176</v>
      </c>
      <c r="G60" s="18">
        <f>IF(AND(F65&lt;&gt;212000,215176&lt;&gt;0),IF(100*215176/(F65-212000)&lt;0.005,"*",100*215176/(F65-212000)),0)</f>
        <v>4.938627495983475</v>
      </c>
    </row>
    <row r="61" spans="1:7" ht="12.75">
      <c r="A61" s="11" t="s">
        <v>143</v>
      </c>
      <c r="B61" s="17">
        <v>0</v>
      </c>
      <c r="C61" s="17">
        <v>0</v>
      </c>
      <c r="D61" s="17">
        <v>0</v>
      </c>
      <c r="E61" s="17">
        <v>0</v>
      </c>
      <c r="F61" s="17">
        <v>0</v>
      </c>
      <c r="G61" s="18">
        <f>IF(AND(F65&lt;&gt;212000,0&lt;&gt;0),IF(100*0/(F65-212000)&lt;0.005,"*",100*0/(F65-212000)),0)</f>
        <v>0</v>
      </c>
    </row>
    <row r="62" spans="1:7" ht="12.75">
      <c r="A62" s="11" t="s">
        <v>144</v>
      </c>
      <c r="B62" s="17">
        <v>22224</v>
      </c>
      <c r="C62" s="17">
        <v>0</v>
      </c>
      <c r="D62" s="17">
        <v>22651</v>
      </c>
      <c r="E62" s="17">
        <v>22651</v>
      </c>
      <c r="F62" s="17">
        <v>22218</v>
      </c>
      <c r="G62" s="18">
        <f>IF(AND(F65&lt;&gt;212000,22218&lt;&gt;0),IF(100*22218/(F65-212000)&lt;0.005,"*",100*22218/(F65-212000)),0)</f>
        <v>0.5099380307551067</v>
      </c>
    </row>
    <row r="63" spans="1:7" ht="12.75">
      <c r="A63" s="11" t="s">
        <v>145</v>
      </c>
      <c r="B63" s="17">
        <v>0</v>
      </c>
      <c r="C63" s="17">
        <v>0</v>
      </c>
      <c r="D63" s="17">
        <v>0</v>
      </c>
      <c r="E63" s="17">
        <v>0</v>
      </c>
      <c r="F63" s="17">
        <v>0</v>
      </c>
      <c r="G63" s="18">
        <f>IF(AND(F65&lt;&gt;212000,0&lt;&gt;0),IF(100*0/(F65-212000)&lt;0.005,"*",100*0/(F65-212000)),0)</f>
        <v>0</v>
      </c>
    </row>
    <row r="64" spans="1:7" ht="12.75">
      <c r="A64" s="11" t="s">
        <v>146</v>
      </c>
      <c r="B64" s="17">
        <v>39932</v>
      </c>
      <c r="C64" s="17">
        <v>0</v>
      </c>
      <c r="D64" s="17">
        <v>58000</v>
      </c>
      <c r="E64" s="17">
        <v>58000</v>
      </c>
      <c r="F64" s="17">
        <v>212000</v>
      </c>
      <c r="G64" s="18">
        <v>0</v>
      </c>
    </row>
    <row r="65" spans="1:7" ht="15" customHeight="1">
      <c r="A65" s="19" t="s">
        <v>87</v>
      </c>
      <c r="B65" s="20">
        <f>131920+9497+21716+33270+132832+29263+64759+10640+49033+125287+123377+25273+1400+246988+46345+6688+20783+58474+65204+14403+107628+159804+67929+49870+27419+42457+5335+14773+16237+11744+163629+11384+1037711+122827+3555+180454+36521+20480+293655+34756+49778+3029+108353+166529+3855+4160+69909+47310+16676+20121+1906+0+3864+0+215238+0+22224+0+39932+0</f>
        <v>4398204</v>
      </c>
      <c r="C65" s="20">
        <f>0+0+0+0+0+0+0+0+0+0+0+0+0+0+0+0+0+0+0+0+0+0+0+0+0+0+0+0+0+0+0+0+0+0+0+0+0+0+0+0+0+0+0+0+0+0+0+0+0+0+0+0+0+0+0+0+0+0+0+0</f>
        <v>0</v>
      </c>
      <c r="D65" s="20">
        <f>134455+9680+22133+33910+135384+29825+66003+10845+49975+127694+125748+25759+1427+251733+47235+6816+21182+59598+66456+14680+109696+162874+69234+50828+27946+43273+5437+15057+16549+11969+166773+11602+1057648+125186+3623+183921+37222+20873+299296+35424+50734+3087+110434+169728+3929+4240+71252+48219+16996+20507+1943+0+3939+0+219374+0+22651+0+58000+0</f>
        <v>4500002</v>
      </c>
      <c r="E65" s="20">
        <f>SUM(C65:D65)</f>
        <v>4500002</v>
      </c>
      <c r="F65" s="20">
        <f>131882+9494+21710+33261+132794+29254+64740+10637+49019+125250+123341+25266+1399+246916+46332+6686+20777+58457+65185+14399+107597+159757+67909+49855+27411+42445+5333+14768+16232+11740+163581+11380+1037409+122791+3554+180401+36510+20474+293569+34746+49763+3028+108321+166481+3854+4159+69888+47296+16671+20115+1906+0+3863+0+215176+0+22218+0+212000+0</f>
        <v>4569000</v>
      </c>
      <c r="G65" s="21" t="s">
        <v>147</v>
      </c>
    </row>
    <row r="66" spans="1:7" ht="15" customHeight="1">
      <c r="A66" s="33" t="s">
        <v>148</v>
      </c>
      <c r="B66" s="33"/>
      <c r="C66" s="33"/>
      <c r="D66" s="33"/>
      <c r="E66" s="33"/>
      <c r="F66" s="33"/>
      <c r="G66" s="33"/>
    </row>
    <row r="67" spans="1:7" ht="15" customHeight="1">
      <c r="A67" s="26" t="s">
        <v>149</v>
      </c>
      <c r="B67" s="26"/>
      <c r="C67" s="26"/>
      <c r="D67" s="26"/>
      <c r="E67" s="26"/>
      <c r="F67" s="26"/>
      <c r="G67" s="26"/>
    </row>
  </sheetData>
  <sheetProtection/>
  <mergeCells count="6">
    <mergeCell ref="A67:G67"/>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A1:G70"/>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335</v>
      </c>
      <c r="B1" s="10"/>
      <c r="C1" s="10"/>
      <c r="D1" s="10"/>
      <c r="E1" s="10"/>
      <c r="F1" s="10"/>
      <c r="G1" s="12" t="s">
        <v>338</v>
      </c>
    </row>
    <row r="2" spans="1:7" ht="12.75">
      <c r="A2" s="13" t="s">
        <v>339</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188563</v>
      </c>
      <c r="C6" s="17">
        <v>1697</v>
      </c>
      <c r="D6" s="17">
        <v>188761</v>
      </c>
      <c r="E6" s="17">
        <v>190458</v>
      </c>
      <c r="F6" s="17">
        <v>200153</v>
      </c>
      <c r="G6" s="18">
        <f>IF(AND(F65&lt;&gt;434000,200153&lt;&gt;0),IF(100*200153/(F65-434000)&lt;0.005,"*",100*200153/(F65-434000)),0)</f>
        <v>0.9753569514156231</v>
      </c>
    </row>
    <row r="7" spans="1:7" ht="12.75">
      <c r="A7" s="11" t="s">
        <v>89</v>
      </c>
      <c r="B7" s="17">
        <v>40807</v>
      </c>
      <c r="C7" s="17">
        <v>367</v>
      </c>
      <c r="D7" s="17">
        <v>40850</v>
      </c>
      <c r="E7" s="17">
        <v>41217</v>
      </c>
      <c r="F7" s="17">
        <v>43315</v>
      </c>
      <c r="G7" s="18">
        <f>IF(AND(F65&lt;&gt;434000,43315&lt;&gt;0),IF(100*43315/(F65-434000)&lt;0.005,"*",100*43315/(F65-434000)),0)</f>
        <v>0.21107645826226792</v>
      </c>
    </row>
    <row r="8" spans="1:7" ht="12.75">
      <c r="A8" s="11" t="s">
        <v>90</v>
      </c>
      <c r="B8" s="17">
        <v>174235</v>
      </c>
      <c r="C8" s="17">
        <v>1568</v>
      </c>
      <c r="D8" s="17">
        <v>174418</v>
      </c>
      <c r="E8" s="17">
        <v>175986</v>
      </c>
      <c r="F8" s="17">
        <v>184944</v>
      </c>
      <c r="G8" s="18">
        <f>IF(AND(F65&lt;&gt;434000,184944&lt;&gt;0),IF(100*184944/(F65-434000)&lt;0.005,"*",100*184944/(F65-434000)),0)</f>
        <v>0.9012426295014863</v>
      </c>
    </row>
    <row r="9" spans="1:7" ht="12.75">
      <c r="A9" s="11" t="s">
        <v>91</v>
      </c>
      <c r="B9" s="17">
        <v>97864</v>
      </c>
      <c r="C9" s="17">
        <v>881</v>
      </c>
      <c r="D9" s="17">
        <v>97967</v>
      </c>
      <c r="E9" s="17">
        <v>98848</v>
      </c>
      <c r="F9" s="17">
        <v>103879</v>
      </c>
      <c r="G9" s="18">
        <f>IF(AND(F65&lt;&gt;434000,103879&lt;&gt;0),IF(100*103879/(F65-434000)&lt;0.005,"*",100*103879/(F65-434000)),0)</f>
        <v>0.5062082744505628</v>
      </c>
    </row>
    <row r="10" spans="1:7" ht="12.75">
      <c r="A10" s="11" t="s">
        <v>92</v>
      </c>
      <c r="B10" s="17">
        <v>3480189</v>
      </c>
      <c r="C10" s="17">
        <v>31323</v>
      </c>
      <c r="D10" s="17">
        <v>3483839</v>
      </c>
      <c r="E10" s="17">
        <v>3515162</v>
      </c>
      <c r="F10" s="17">
        <v>3694097</v>
      </c>
      <c r="G10" s="18">
        <f>IF(AND(F65&lt;&gt;434000,3694097&lt;&gt;0),IF(100*3694097/(F65-434000)&lt;0.005,"*",100*3694097/(F65-434000)),0)</f>
        <v>18.001544759027336</v>
      </c>
    </row>
    <row r="11" spans="1:7" ht="12.75">
      <c r="A11" s="11" t="s">
        <v>93</v>
      </c>
      <c r="B11" s="17">
        <v>242806</v>
      </c>
      <c r="C11" s="17">
        <v>2185</v>
      </c>
      <c r="D11" s="17">
        <v>243061</v>
      </c>
      <c r="E11" s="17">
        <v>245246</v>
      </c>
      <c r="F11" s="17">
        <v>257730</v>
      </c>
      <c r="G11" s="18">
        <f>IF(AND(F65&lt;&gt;434000,257730&lt;&gt;0),IF(100*257730/(F65-434000)&lt;0.005,"*",100*257730/(F65-434000)),0)</f>
        <v>1.2559329467374885</v>
      </c>
    </row>
    <row r="12" spans="1:7" ht="12.75">
      <c r="A12" s="11" t="s">
        <v>94</v>
      </c>
      <c r="B12" s="17">
        <v>387129</v>
      </c>
      <c r="C12" s="17">
        <v>3484</v>
      </c>
      <c r="D12" s="17">
        <v>387535</v>
      </c>
      <c r="E12" s="17">
        <v>391019</v>
      </c>
      <c r="F12" s="17">
        <v>410924</v>
      </c>
      <c r="G12" s="18">
        <f>IF(AND(F65&lt;&gt;434000,410924&lt;&gt;0),IF(100*410924/(F65-434000)&lt;0.005,"*",100*410924/(F65-434000)),0)</f>
        <v>2.002456020661761</v>
      </c>
    </row>
    <row r="13" spans="1:7" ht="12.75">
      <c r="A13" s="11" t="s">
        <v>95</v>
      </c>
      <c r="B13" s="17">
        <v>40770</v>
      </c>
      <c r="C13" s="17">
        <v>367</v>
      </c>
      <c r="D13" s="17">
        <v>40813</v>
      </c>
      <c r="E13" s="17">
        <v>41180</v>
      </c>
      <c r="F13" s="17">
        <v>43276</v>
      </c>
      <c r="G13" s="18">
        <f>IF(AND(F65&lt;&gt;434000,43276&lt;&gt;0),IF(100*43276/(F65-434000)&lt;0.005,"*",100*43276/(F65-434000)),0)</f>
        <v>0.21088640904439354</v>
      </c>
    </row>
    <row r="14" spans="1:7" ht="12.75">
      <c r="A14" s="11" t="s">
        <v>96</v>
      </c>
      <c r="B14" s="17">
        <v>204957</v>
      </c>
      <c r="C14" s="17">
        <v>1845</v>
      </c>
      <c r="D14" s="17">
        <v>205171</v>
      </c>
      <c r="E14" s="17">
        <v>207016</v>
      </c>
      <c r="F14" s="17">
        <v>217554</v>
      </c>
      <c r="G14" s="18">
        <f>IF(AND(F65&lt;&gt;434000,217554&lt;&gt;0),IF(100*217554/(F65-434000)&lt;0.005,"*",100*217554/(F65-434000)),0)</f>
        <v>1.0601530139856732</v>
      </c>
    </row>
    <row r="15" spans="1:7" ht="12.75">
      <c r="A15" s="11" t="s">
        <v>97</v>
      </c>
      <c r="B15" s="17">
        <v>868850</v>
      </c>
      <c r="C15" s="17">
        <v>7820</v>
      </c>
      <c r="D15" s="17">
        <v>869762</v>
      </c>
      <c r="E15" s="17">
        <v>877582</v>
      </c>
      <c r="F15" s="17">
        <v>922254</v>
      </c>
      <c r="G15" s="18">
        <f>IF(AND(F65&lt;&gt;434000,922254&lt;&gt;0),IF(100*922254/(F65-434000)&lt;0.005,"*",100*922254/(F65-434000)),0)</f>
        <v>4.494196189269529</v>
      </c>
    </row>
    <row r="16" spans="1:7" ht="12.75">
      <c r="A16" s="11" t="s">
        <v>98</v>
      </c>
      <c r="B16" s="17">
        <v>507976</v>
      </c>
      <c r="C16" s="17">
        <v>4572</v>
      </c>
      <c r="D16" s="17">
        <v>508509</v>
      </c>
      <c r="E16" s="17">
        <v>513081</v>
      </c>
      <c r="F16" s="17">
        <v>539199</v>
      </c>
      <c r="G16" s="18">
        <f>IF(AND(F65&lt;&gt;434000,539199&lt;&gt;0),IF(100*539199/(F65-434000)&lt;0.005,"*",100*539199/(F65-434000)),0)</f>
        <v>2.627547390478047</v>
      </c>
    </row>
    <row r="17" spans="1:7" ht="12.75">
      <c r="A17" s="11" t="s">
        <v>99</v>
      </c>
      <c r="B17" s="17">
        <v>112152</v>
      </c>
      <c r="C17" s="17">
        <v>1009</v>
      </c>
      <c r="D17" s="17">
        <v>112270</v>
      </c>
      <c r="E17" s="17">
        <v>113279</v>
      </c>
      <c r="F17" s="17">
        <v>119046</v>
      </c>
      <c r="G17" s="18">
        <f>IF(AND(F65&lt;&gt;434000,119046&lt;&gt;0),IF(100*119046/(F65-434000)&lt;0.005,"*",100*119046/(F65-434000)),0)</f>
        <v>0.5801179279762195</v>
      </c>
    </row>
    <row r="18" spans="1:7" ht="12.75">
      <c r="A18" s="11" t="s">
        <v>100</v>
      </c>
      <c r="B18" s="17">
        <v>38570</v>
      </c>
      <c r="C18" s="17">
        <v>347</v>
      </c>
      <c r="D18" s="17">
        <v>38610</v>
      </c>
      <c r="E18" s="17">
        <v>38957</v>
      </c>
      <c r="F18" s="17">
        <v>40941</v>
      </c>
      <c r="G18" s="18">
        <f>IF(AND(F65&lt;&gt;434000,40941&lt;&gt;0),IF(100*40941/(F65-434000)&lt;0.005,"*",100*40941/(F65-434000)),0)</f>
        <v>0.19950782125627406</v>
      </c>
    </row>
    <row r="19" spans="1:7" ht="12.75">
      <c r="A19" s="11" t="s">
        <v>101</v>
      </c>
      <c r="B19" s="17">
        <v>919219</v>
      </c>
      <c r="C19" s="17">
        <v>8273</v>
      </c>
      <c r="D19" s="17">
        <v>920183</v>
      </c>
      <c r="E19" s="17">
        <v>928456</v>
      </c>
      <c r="F19" s="17">
        <v>975718</v>
      </c>
      <c r="G19" s="18">
        <f>IF(AND(F65&lt;&gt;434000,975718&lt;&gt;0),IF(100*975718/(F65-434000)&lt;0.005,"*",100*975718/(F65-434000)),0)</f>
        <v>4.754729301690951</v>
      </c>
    </row>
    <row r="20" spans="1:7" ht="12.75">
      <c r="A20" s="11" t="s">
        <v>102</v>
      </c>
      <c r="B20" s="17">
        <v>206628</v>
      </c>
      <c r="C20" s="17">
        <v>1860</v>
      </c>
      <c r="D20" s="17">
        <v>206844</v>
      </c>
      <c r="E20" s="17">
        <v>208704</v>
      </c>
      <c r="F20" s="17">
        <v>219328</v>
      </c>
      <c r="G20" s="18">
        <f>IF(AND(F65&lt;&gt;434000,219328&lt;&gt;0),IF(100*219328/(F65-434000)&lt;0.005,"*",100*219328/(F65-434000)),0)</f>
        <v>1.0687978168705228</v>
      </c>
    </row>
    <row r="21" spans="1:7" ht="12.75">
      <c r="A21" s="11" t="s">
        <v>103</v>
      </c>
      <c r="B21" s="17">
        <v>97095</v>
      </c>
      <c r="C21" s="17">
        <v>874</v>
      </c>
      <c r="D21" s="17">
        <v>97197</v>
      </c>
      <c r="E21" s="17">
        <v>98071</v>
      </c>
      <c r="F21" s="17">
        <v>103063</v>
      </c>
      <c r="G21" s="18">
        <f>IF(AND(F65&lt;&gt;434000,103063&lt;&gt;0),IF(100*103063/(F65-434000)&lt;0.005,"*",100*103063/(F65-434000)),0)</f>
        <v>0.5022318600458068</v>
      </c>
    </row>
    <row r="22" spans="1:7" ht="12.75">
      <c r="A22" s="11" t="s">
        <v>104</v>
      </c>
      <c r="B22" s="17">
        <v>63929</v>
      </c>
      <c r="C22" s="17">
        <v>575</v>
      </c>
      <c r="D22" s="17">
        <v>63996</v>
      </c>
      <c r="E22" s="17">
        <v>64571</v>
      </c>
      <c r="F22" s="17">
        <v>67858</v>
      </c>
      <c r="G22" s="18">
        <f>IF(AND(F65&lt;&gt;434000,67858&lt;&gt;0),IF(100*67858/(F65-434000)&lt;0.005,"*",100*67858/(F65-434000)),0)</f>
        <v>0.33067589298767114</v>
      </c>
    </row>
    <row r="23" spans="1:7" ht="12.75">
      <c r="A23" s="11" t="s">
        <v>105</v>
      </c>
      <c r="B23" s="17">
        <v>202260</v>
      </c>
      <c r="C23" s="17">
        <v>1820</v>
      </c>
      <c r="D23" s="17">
        <v>202473</v>
      </c>
      <c r="E23" s="17">
        <v>204293</v>
      </c>
      <c r="F23" s="17">
        <v>214692</v>
      </c>
      <c r="G23" s="18">
        <f>IF(AND(F65&lt;&gt;434000,214692&lt;&gt;0),IF(100*214692/(F65-434000)&lt;0.005,"*",100*214692/(F65-434000)),0)</f>
        <v>1.0462063252278153</v>
      </c>
    </row>
    <row r="24" spans="1:7" ht="12.75">
      <c r="A24" s="11" t="s">
        <v>106</v>
      </c>
      <c r="B24" s="17">
        <v>359303</v>
      </c>
      <c r="C24" s="17">
        <v>3234</v>
      </c>
      <c r="D24" s="17">
        <v>359680</v>
      </c>
      <c r="E24" s="17">
        <v>362914</v>
      </c>
      <c r="F24" s="17">
        <v>381387</v>
      </c>
      <c r="G24" s="18">
        <f>IF(AND(F65&lt;&gt;434000,381387&lt;&gt;0),IF(100*381387/(F65-434000)&lt;0.005,"*",100*381387/(F65-434000)),0)</f>
        <v>1.8585205399347011</v>
      </c>
    </row>
    <row r="25" spans="1:7" ht="12.75">
      <c r="A25" s="11" t="s">
        <v>107</v>
      </c>
      <c r="B25" s="17">
        <v>84293</v>
      </c>
      <c r="C25" s="17">
        <v>759</v>
      </c>
      <c r="D25" s="17">
        <v>84382</v>
      </c>
      <c r="E25" s="17">
        <v>85141</v>
      </c>
      <c r="F25" s="17">
        <v>89475</v>
      </c>
      <c r="G25" s="18">
        <f>IF(AND(F65&lt;&gt;434000,89475&lt;&gt;0),IF(100*89475/(F65-434000)&lt;0.005,"*",100*89475/(F65-434000)),0)</f>
        <v>0.4360167633156279</v>
      </c>
    </row>
    <row r="26" spans="1:7" ht="12.75">
      <c r="A26" s="11" t="s">
        <v>108</v>
      </c>
      <c r="B26" s="17">
        <v>547480</v>
      </c>
      <c r="C26" s="17">
        <v>4927</v>
      </c>
      <c r="D26" s="17">
        <v>548054</v>
      </c>
      <c r="E26" s="17">
        <v>552981</v>
      </c>
      <c r="F26" s="17">
        <v>581130</v>
      </c>
      <c r="G26" s="18">
        <f>IF(AND(F65&lt;&gt;434000,581130&lt;&gt;0),IF(100*581130/(F65-434000)&lt;0.005,"*",100*581130/(F65-434000)),0)</f>
        <v>2.831879538034209</v>
      </c>
    </row>
    <row r="27" spans="1:7" ht="12.75">
      <c r="A27" s="11" t="s">
        <v>109</v>
      </c>
      <c r="B27" s="17">
        <v>943359</v>
      </c>
      <c r="C27" s="17">
        <v>8491</v>
      </c>
      <c r="D27" s="17">
        <v>944349</v>
      </c>
      <c r="E27" s="17">
        <v>952840</v>
      </c>
      <c r="F27" s="17">
        <v>1001343</v>
      </c>
      <c r="G27" s="18">
        <f>IF(AND(F65&lt;&gt;434000,1001343&lt;&gt;0),IF(100*1001343/(F65-434000)&lt;0.005,"*",100*1001343/(F65-434000)),0)</f>
        <v>4.879601383948151</v>
      </c>
    </row>
    <row r="28" spans="1:7" ht="12.75">
      <c r="A28" s="11" t="s">
        <v>110</v>
      </c>
      <c r="B28" s="17">
        <v>358373</v>
      </c>
      <c r="C28" s="17">
        <v>3225</v>
      </c>
      <c r="D28" s="17">
        <v>358749</v>
      </c>
      <c r="E28" s="17">
        <v>361974</v>
      </c>
      <c r="F28" s="17">
        <v>380400</v>
      </c>
      <c r="G28" s="18">
        <f>IF(AND(F65&lt;&gt;434000,380400&lt;&gt;0),IF(100*380400/(F65-434000)&lt;0.005,"*",100*380400/(F65-434000)),0)</f>
        <v>1.8537108328054188</v>
      </c>
    </row>
    <row r="29" spans="1:7" ht="12.75">
      <c r="A29" s="11" t="s">
        <v>111</v>
      </c>
      <c r="B29" s="17">
        <v>232959</v>
      </c>
      <c r="C29" s="17">
        <v>2097</v>
      </c>
      <c r="D29" s="17">
        <v>233204</v>
      </c>
      <c r="E29" s="17">
        <v>235301</v>
      </c>
      <c r="F29" s="17">
        <v>247278</v>
      </c>
      <c r="G29" s="18">
        <f>IF(AND(F65&lt;&gt;434000,247278&lt;&gt;0),IF(100*247278/(F65-434000)&lt;0.005,"*",100*247278/(F65-434000)),0)</f>
        <v>1.2049997563471566</v>
      </c>
    </row>
    <row r="30" spans="1:7" ht="12.75">
      <c r="A30" s="11" t="s">
        <v>112</v>
      </c>
      <c r="B30" s="17">
        <v>153589</v>
      </c>
      <c r="C30" s="17">
        <v>1382</v>
      </c>
      <c r="D30" s="17">
        <v>153750</v>
      </c>
      <c r="E30" s="17">
        <v>155132</v>
      </c>
      <c r="F30" s="17">
        <v>163030</v>
      </c>
      <c r="G30" s="18">
        <f>IF(AND(F65&lt;&gt;434000,163030&lt;&gt;0),IF(100*163030/(F65-434000)&lt;0.005,"*",100*163030/(F65-434000)),0)</f>
        <v>0.7944544612835632</v>
      </c>
    </row>
    <row r="31" spans="1:7" ht="12.75">
      <c r="A31" s="11" t="s">
        <v>113</v>
      </c>
      <c r="B31" s="17">
        <v>240891</v>
      </c>
      <c r="C31" s="17">
        <v>2168</v>
      </c>
      <c r="D31" s="17">
        <v>241144</v>
      </c>
      <c r="E31" s="17">
        <v>243312</v>
      </c>
      <c r="F31" s="17">
        <v>255698</v>
      </c>
      <c r="G31" s="18">
        <f>IF(AND(F65&lt;&gt;434000,255698&lt;&gt;0),IF(100*255698/(F65-434000)&lt;0.005,"*",100*255698/(F65-434000)),0)</f>
        <v>1.2460308951805468</v>
      </c>
    </row>
    <row r="32" spans="1:7" ht="12.75">
      <c r="A32" s="11" t="s">
        <v>114</v>
      </c>
      <c r="B32" s="17">
        <v>31303</v>
      </c>
      <c r="C32" s="17">
        <v>282</v>
      </c>
      <c r="D32" s="17">
        <v>31336</v>
      </c>
      <c r="E32" s="17">
        <v>31618</v>
      </c>
      <c r="F32" s="17">
        <v>33227</v>
      </c>
      <c r="G32" s="18">
        <f>IF(AND(F65&lt;&gt;434000,33227&lt;&gt;0),IF(100*33227/(F65-434000)&lt;0.005,"*",100*33227/(F65-434000)),0)</f>
        <v>0.16191706057209687</v>
      </c>
    </row>
    <row r="33" spans="1:7" ht="12.75">
      <c r="A33" s="11" t="s">
        <v>115</v>
      </c>
      <c r="B33" s="17">
        <v>67187</v>
      </c>
      <c r="C33" s="17">
        <v>605</v>
      </c>
      <c r="D33" s="17">
        <v>67257</v>
      </c>
      <c r="E33" s="17">
        <v>67862</v>
      </c>
      <c r="F33" s="17">
        <v>71316</v>
      </c>
      <c r="G33" s="18">
        <f>IF(AND(F65&lt;&gt;434000,71316&lt;&gt;0),IF(100*71316/(F65-434000)&lt;0.005,"*",100*71316/(F65-434000)),0)</f>
        <v>0.34752692363919885</v>
      </c>
    </row>
    <row r="34" spans="1:7" ht="12.75">
      <c r="A34" s="11" t="s">
        <v>116</v>
      </c>
      <c r="B34" s="17">
        <v>145155</v>
      </c>
      <c r="C34" s="17">
        <v>1306</v>
      </c>
      <c r="D34" s="17">
        <v>145307</v>
      </c>
      <c r="E34" s="17">
        <v>146613</v>
      </c>
      <c r="F34" s="17">
        <v>154077</v>
      </c>
      <c r="G34" s="18">
        <f>IF(AND(F65&lt;&gt;434000,154077&lt;&gt;0),IF(100*154077/(F65-434000)&lt;0.005,"*",100*154077/(F65-434000)),0)</f>
        <v>0.7508259831392232</v>
      </c>
    </row>
    <row r="35" spans="1:7" ht="12.75">
      <c r="A35" s="11" t="s">
        <v>117</v>
      </c>
      <c r="B35" s="17">
        <v>85714</v>
      </c>
      <c r="C35" s="17">
        <v>771</v>
      </c>
      <c r="D35" s="17">
        <v>85803</v>
      </c>
      <c r="E35" s="17">
        <v>86574</v>
      </c>
      <c r="F35" s="17">
        <v>90982</v>
      </c>
      <c r="G35" s="18">
        <f>IF(AND(F65&lt;&gt;434000,90982&lt;&gt;0),IF(100*90982/(F65-434000)&lt;0.005,"*",100*90982/(F65-434000)),0)</f>
        <v>0.44336046001656837</v>
      </c>
    </row>
    <row r="36" spans="1:7" ht="12.75">
      <c r="A36" s="11" t="s">
        <v>118</v>
      </c>
      <c r="B36" s="17">
        <v>752029</v>
      </c>
      <c r="C36" s="17">
        <v>6768</v>
      </c>
      <c r="D36" s="17">
        <v>752817</v>
      </c>
      <c r="E36" s="17">
        <v>759585</v>
      </c>
      <c r="F36" s="17">
        <v>798252</v>
      </c>
      <c r="G36" s="18">
        <f>IF(AND(F65&lt;&gt;434000,798252&lt;&gt;0),IF(100*798252/(F65-434000)&lt;0.005,"*",100*798252/(F65-434000)),0)</f>
        <v>3.8899273914526584</v>
      </c>
    </row>
    <row r="37" spans="1:7" ht="12.75">
      <c r="A37" s="11" t="s">
        <v>119</v>
      </c>
      <c r="B37" s="17">
        <v>74512</v>
      </c>
      <c r="C37" s="17">
        <v>671</v>
      </c>
      <c r="D37" s="17">
        <v>74590</v>
      </c>
      <c r="E37" s="17">
        <v>75261</v>
      </c>
      <c r="F37" s="17">
        <v>79092</v>
      </c>
      <c r="G37" s="18">
        <f>IF(AND(F65&lt;&gt;434000,79092&lt;&gt;0),IF(100*79092/(F65-434000)&lt;0.005,"*",100*79092/(F65-434000)),0)</f>
        <v>0.38541981384922763</v>
      </c>
    </row>
    <row r="38" spans="1:7" ht="12.75">
      <c r="A38" s="11" t="s">
        <v>120</v>
      </c>
      <c r="B38" s="17">
        <v>2444859</v>
      </c>
      <c r="C38" s="17">
        <v>22004</v>
      </c>
      <c r="D38" s="17">
        <v>2447423</v>
      </c>
      <c r="E38" s="17">
        <v>2469427</v>
      </c>
      <c r="F38" s="17">
        <v>2595131</v>
      </c>
      <c r="G38" s="18">
        <f>IF(AND(F65&lt;&gt;434000,2595131&lt;&gt;0),IF(100*2595131/(F65-434000)&lt;0.005,"*",100*2595131/(F65-434000)),0)</f>
        <v>12.64622094439842</v>
      </c>
    </row>
    <row r="39" spans="1:7" ht="12.75">
      <c r="A39" s="11" t="s">
        <v>121</v>
      </c>
      <c r="B39" s="17">
        <v>360281</v>
      </c>
      <c r="C39" s="17">
        <v>3243</v>
      </c>
      <c r="D39" s="17">
        <v>360659</v>
      </c>
      <c r="E39" s="17">
        <v>363902</v>
      </c>
      <c r="F39" s="17">
        <v>382426</v>
      </c>
      <c r="G39" s="18">
        <f>IF(AND(F65&lt;&gt;434000,382426&lt;&gt;0),IF(100*382426/(F65-434000)&lt;0.005,"*",100*382426/(F65-434000)),0)</f>
        <v>1.863583646021149</v>
      </c>
    </row>
    <row r="40" spans="1:7" ht="12.75">
      <c r="A40" s="11" t="s">
        <v>122</v>
      </c>
      <c r="B40" s="17">
        <v>33237</v>
      </c>
      <c r="C40" s="17">
        <v>299</v>
      </c>
      <c r="D40" s="17">
        <v>33272</v>
      </c>
      <c r="E40" s="17">
        <v>33571</v>
      </c>
      <c r="F40" s="17">
        <v>35280</v>
      </c>
      <c r="G40" s="18">
        <f>IF(AND(F65&lt;&gt;434000,35280&lt;&gt;0),IF(100*35280/(F65-434000)&lt;0.005,"*",100*35280/(F65-434000)),0)</f>
        <v>0.1719214463232786</v>
      </c>
    </row>
    <row r="41" spans="1:7" ht="12.75">
      <c r="A41" s="11" t="s">
        <v>123</v>
      </c>
      <c r="B41" s="17">
        <v>557615</v>
      </c>
      <c r="C41" s="17">
        <v>5019</v>
      </c>
      <c r="D41" s="17">
        <v>558200</v>
      </c>
      <c r="E41" s="17">
        <v>563219</v>
      </c>
      <c r="F41" s="17">
        <v>591888</v>
      </c>
      <c r="G41" s="18">
        <f>IF(AND(F65&lt;&gt;434000,591888&lt;&gt;0),IF(100*591888/(F65-434000)&lt;0.005,"*",100*591888/(F65-434000)),0)</f>
        <v>2.884303883826324</v>
      </c>
    </row>
    <row r="42" spans="1:7" ht="12.75">
      <c r="A42" s="11" t="s">
        <v>124</v>
      </c>
      <c r="B42" s="17">
        <v>130911</v>
      </c>
      <c r="C42" s="17">
        <v>1178</v>
      </c>
      <c r="D42" s="17">
        <v>131048</v>
      </c>
      <c r="E42" s="17">
        <v>132226</v>
      </c>
      <c r="F42" s="17">
        <v>138957</v>
      </c>
      <c r="G42" s="18">
        <f>IF(AND(F65&lt;&gt;434000,138957&lt;&gt;0),IF(100*138957/(F65-434000)&lt;0.005,"*",100*138957/(F65-434000)),0)</f>
        <v>0.6771453632863895</v>
      </c>
    </row>
    <row r="43" spans="1:7" ht="12.75">
      <c r="A43" s="11" t="s">
        <v>125</v>
      </c>
      <c r="B43" s="17">
        <v>233291</v>
      </c>
      <c r="C43" s="17">
        <v>2100</v>
      </c>
      <c r="D43" s="17">
        <v>233535</v>
      </c>
      <c r="E43" s="17">
        <v>235635</v>
      </c>
      <c r="F43" s="17">
        <v>247630</v>
      </c>
      <c r="G43" s="18">
        <f>IF(AND(F65&lt;&gt;434000,247630&lt;&gt;0),IF(100*247630/(F65-434000)&lt;0.005,"*",100*247630/(F65-434000)),0)</f>
        <v>1.2067150723648945</v>
      </c>
    </row>
    <row r="44" spans="1:7" ht="12.75">
      <c r="A44" s="11" t="s">
        <v>126</v>
      </c>
      <c r="B44" s="17">
        <v>610158</v>
      </c>
      <c r="C44" s="17">
        <v>5492</v>
      </c>
      <c r="D44" s="17">
        <v>610798</v>
      </c>
      <c r="E44" s="17">
        <v>616290</v>
      </c>
      <c r="F44" s="17">
        <v>647661</v>
      </c>
      <c r="G44" s="18">
        <f>IF(AND(F65&lt;&gt;434000,647661&lt;&gt;0),IF(100*647661/(F65-434000)&lt;0.005,"*",100*647661/(F65-434000)),0)</f>
        <v>3.156088884557283</v>
      </c>
    </row>
    <row r="45" spans="1:7" ht="12.75">
      <c r="A45" s="11" t="s">
        <v>127</v>
      </c>
      <c r="B45" s="17">
        <v>83778</v>
      </c>
      <c r="C45" s="17">
        <v>754</v>
      </c>
      <c r="D45" s="17">
        <v>83866</v>
      </c>
      <c r="E45" s="17">
        <v>84620</v>
      </c>
      <c r="F45" s="17">
        <v>88927</v>
      </c>
      <c r="G45" s="18">
        <f>IF(AND(F65&lt;&gt;434000,88927&lt;&gt;0),IF(100*88927/(F65-434000)&lt;0.005,"*",100*88927/(F65-434000)),0)</f>
        <v>0.43334632815164953</v>
      </c>
    </row>
    <row r="46" spans="1:7" ht="12.75">
      <c r="A46" s="11" t="s">
        <v>128</v>
      </c>
      <c r="B46" s="17">
        <v>150707</v>
      </c>
      <c r="C46" s="17">
        <v>1356</v>
      </c>
      <c r="D46" s="17">
        <v>150865</v>
      </c>
      <c r="E46" s="17">
        <v>152221</v>
      </c>
      <c r="F46" s="17">
        <v>159970</v>
      </c>
      <c r="G46" s="18">
        <f>IF(AND(F65&lt;&gt;434000,159970&lt;&gt;0),IF(100*159970/(F65-434000)&lt;0.005,"*",100*159970/(F65-434000)),0)</f>
        <v>0.7795429072657278</v>
      </c>
    </row>
    <row r="47" spans="1:7" ht="12.75">
      <c r="A47" s="11" t="s">
        <v>129</v>
      </c>
      <c r="B47" s="17">
        <v>28858</v>
      </c>
      <c r="C47" s="17">
        <v>260</v>
      </c>
      <c r="D47" s="17">
        <v>28889</v>
      </c>
      <c r="E47" s="17">
        <v>29149</v>
      </c>
      <c r="F47" s="17">
        <v>30632</v>
      </c>
      <c r="G47" s="18">
        <f>IF(AND(F65&lt;&gt;434000,30632&lt;&gt;0),IF(100*30632/(F65-434000)&lt;0.005,"*",100*30632/(F65-434000)),0)</f>
        <v>0.14927147799814824</v>
      </c>
    </row>
    <row r="48" spans="1:7" ht="12.75">
      <c r="A48" s="11" t="s">
        <v>130</v>
      </c>
      <c r="B48" s="17">
        <v>221068</v>
      </c>
      <c r="C48" s="17">
        <v>1990</v>
      </c>
      <c r="D48" s="17">
        <v>221300</v>
      </c>
      <c r="E48" s="17">
        <v>223290</v>
      </c>
      <c r="F48" s="17">
        <v>234656</v>
      </c>
      <c r="G48" s="18">
        <f>IF(AND(F65&lt;&gt;434000,234656&lt;&gt;0),IF(100*234656/(F65-434000)&lt;0.005,"*",100*234656/(F65-434000)),0)</f>
        <v>1.14349203255202</v>
      </c>
    </row>
    <row r="49" spans="1:7" ht="12.75">
      <c r="A49" s="11" t="s">
        <v>131</v>
      </c>
      <c r="B49" s="17">
        <v>1045825</v>
      </c>
      <c r="C49" s="17">
        <v>9413</v>
      </c>
      <c r="D49" s="17">
        <v>1046922</v>
      </c>
      <c r="E49" s="17">
        <v>1056335</v>
      </c>
      <c r="F49" s="17">
        <v>1110107</v>
      </c>
      <c r="G49" s="18">
        <f>IF(AND(F65&lt;&gt;434000,1110107&lt;&gt;0),IF(100*1110107/(F65-434000)&lt;0.005,"*",100*1110107/(F65-434000)),0)</f>
        <v>5.409614541201695</v>
      </c>
    </row>
    <row r="50" spans="1:7" ht="12.75">
      <c r="A50" s="11" t="s">
        <v>132</v>
      </c>
      <c r="B50" s="17">
        <v>74676</v>
      </c>
      <c r="C50" s="17">
        <v>672</v>
      </c>
      <c r="D50" s="17">
        <v>74754</v>
      </c>
      <c r="E50" s="17">
        <v>75426</v>
      </c>
      <c r="F50" s="17">
        <v>79266</v>
      </c>
      <c r="G50" s="18">
        <f>IF(AND(F65&lt;&gt;434000,79266&lt;&gt;0),IF(100*79266/(F65-434000)&lt;0.005,"*",100*79266/(F65-434000)),0)</f>
        <v>0.3862677257443594</v>
      </c>
    </row>
    <row r="51" spans="1:7" ht="12.75">
      <c r="A51" s="11" t="s">
        <v>133</v>
      </c>
      <c r="B51" s="17">
        <v>51055</v>
      </c>
      <c r="C51" s="17">
        <v>460</v>
      </c>
      <c r="D51" s="17">
        <v>51109</v>
      </c>
      <c r="E51" s="17">
        <v>51569</v>
      </c>
      <c r="F51" s="17">
        <v>54193</v>
      </c>
      <c r="G51" s="18">
        <f>IF(AND(F65&lt;&gt;434000,54193&lt;&gt;0),IF(100*54193/(F65-434000)&lt;0.005,"*",100*54193/(F65-434000)),0)</f>
        <v>0.2640855708786122</v>
      </c>
    </row>
    <row r="52" spans="1:7" ht="12.75">
      <c r="A52" s="11" t="s">
        <v>134</v>
      </c>
      <c r="B52" s="17">
        <v>397813</v>
      </c>
      <c r="C52" s="17">
        <v>3580</v>
      </c>
      <c r="D52" s="17">
        <v>398231</v>
      </c>
      <c r="E52" s="17">
        <v>401811</v>
      </c>
      <c r="F52" s="17">
        <v>422265</v>
      </c>
      <c r="G52" s="18">
        <f>IF(AND(F65&lt;&gt;434000,422265&lt;&gt;0),IF(100*422265/(F65-434000)&lt;0.005,"*",100*422265/(F65-434000)),0)</f>
        <v>2.057721358608255</v>
      </c>
    </row>
    <row r="53" spans="1:7" ht="12.75">
      <c r="A53" s="11" t="s">
        <v>135</v>
      </c>
      <c r="B53" s="17">
        <v>476585</v>
      </c>
      <c r="C53" s="17">
        <v>4289</v>
      </c>
      <c r="D53" s="17">
        <v>477085</v>
      </c>
      <c r="E53" s="17">
        <v>481374</v>
      </c>
      <c r="F53" s="17">
        <v>505878</v>
      </c>
      <c r="G53" s="18">
        <f>IF(AND(F65&lt;&gt;434000,505878&lt;&gt;0),IF(100*505878/(F65-434000)&lt;0.005,"*",100*505878/(F65-434000)),0)</f>
        <v>2.465172262560304</v>
      </c>
    </row>
    <row r="54" spans="1:7" ht="12.75">
      <c r="A54" s="11" t="s">
        <v>136</v>
      </c>
      <c r="B54" s="17">
        <v>70616</v>
      </c>
      <c r="C54" s="17">
        <v>636</v>
      </c>
      <c r="D54" s="17">
        <v>70690</v>
      </c>
      <c r="E54" s="17">
        <v>71326</v>
      </c>
      <c r="F54" s="17">
        <v>74957</v>
      </c>
      <c r="G54" s="18">
        <f>IF(AND(F65&lt;&gt;434000,74957&lt;&gt;0),IF(100*74957/(F65-434000)&lt;0.005,"*",100*74957/(F65-434000)),0)</f>
        <v>0.3652697236976756</v>
      </c>
    </row>
    <row r="55" spans="1:7" ht="12.75">
      <c r="A55" s="11" t="s">
        <v>137</v>
      </c>
      <c r="B55" s="17">
        <v>152326</v>
      </c>
      <c r="C55" s="17">
        <v>1371</v>
      </c>
      <c r="D55" s="17">
        <v>152485</v>
      </c>
      <c r="E55" s="17">
        <v>153856</v>
      </c>
      <c r="F55" s="17">
        <v>161688</v>
      </c>
      <c r="G55" s="18">
        <f>IF(AND(F65&lt;&gt;434000,161688&lt;&gt;0),IF(100*161688/(F65-434000)&lt;0.005,"*",100*161688/(F65-434000)),0)</f>
        <v>0.7879148189659373</v>
      </c>
    </row>
    <row r="56" spans="1:7" ht="12.75">
      <c r="A56" s="11" t="s">
        <v>138</v>
      </c>
      <c r="B56" s="17">
        <v>13744</v>
      </c>
      <c r="C56" s="17">
        <v>124</v>
      </c>
      <c r="D56" s="17">
        <v>13759</v>
      </c>
      <c r="E56" s="17">
        <v>13883</v>
      </c>
      <c r="F56" s="17">
        <v>14589</v>
      </c>
      <c r="G56" s="18">
        <f>IF(AND(F65&lt;&gt;434000,14589&lt;&gt;0),IF(100*14589/(F65-434000)&lt;0.005,"*",100*14589/(F65-434000)),0)</f>
        <v>0.07109302665562107</v>
      </c>
    </row>
    <row r="57" spans="1:7" ht="12.75">
      <c r="A57" s="11" t="s">
        <v>139</v>
      </c>
      <c r="B57" s="17">
        <v>0</v>
      </c>
      <c r="C57" s="17">
        <v>0</v>
      </c>
      <c r="D57" s="17">
        <v>0</v>
      </c>
      <c r="E57" s="17">
        <v>0</v>
      </c>
      <c r="F57" s="17">
        <v>0</v>
      </c>
      <c r="G57" s="18">
        <f>IF(AND(F65&lt;&gt;434000,0&lt;&gt;0),IF(100*0/(F65-434000)&lt;0.005,"*",100*0/(F65-434000)),0)</f>
        <v>0</v>
      </c>
    </row>
    <row r="58" spans="1:7" ht="12.75">
      <c r="A58" s="11" t="s">
        <v>140</v>
      </c>
      <c r="B58" s="17">
        <v>32746</v>
      </c>
      <c r="C58" s="17">
        <v>295</v>
      </c>
      <c r="D58" s="17">
        <v>32780</v>
      </c>
      <c r="E58" s="17">
        <v>33075</v>
      </c>
      <c r="F58" s="17">
        <v>34758</v>
      </c>
      <c r="G58" s="18">
        <f>IF(AND(F65&lt;&gt;434000,34758&lt;&gt;0),IF(100*34758/(F65-434000)&lt;0.005,"*",100*34758/(F65-434000)),0)</f>
        <v>0.16937771063788315</v>
      </c>
    </row>
    <row r="59" spans="1:7" ht="12.75">
      <c r="A59" s="11" t="s">
        <v>141</v>
      </c>
      <c r="B59" s="17">
        <v>3616</v>
      </c>
      <c r="C59" s="17">
        <v>33</v>
      </c>
      <c r="D59" s="17">
        <v>3620</v>
      </c>
      <c r="E59" s="17">
        <v>3653</v>
      </c>
      <c r="F59" s="17">
        <v>3838</v>
      </c>
      <c r="G59" s="18">
        <f>IF(AND(F65&lt;&gt;434000,3838&lt;&gt;0),IF(100*3838/(F65-434000)&lt;0.005,"*",100*3838/(F65-434000)),0)</f>
        <v>0.018702792261585693</v>
      </c>
    </row>
    <row r="60" spans="1:7" ht="12.75">
      <c r="A60" s="11" t="s">
        <v>142</v>
      </c>
      <c r="B60" s="17">
        <v>193674</v>
      </c>
      <c r="C60" s="17">
        <v>1743</v>
      </c>
      <c r="D60" s="17">
        <v>193877</v>
      </c>
      <c r="E60" s="17">
        <v>195620</v>
      </c>
      <c r="F60" s="17">
        <v>205578</v>
      </c>
      <c r="G60" s="18">
        <f>IF(AND(F65&lt;&gt;434000,205578&lt;&gt;0),IF(100*205578/(F65-434000)&lt;0.005,"*",100*205578/(F65-434000)),0)</f>
        <v>1.0017932849276352</v>
      </c>
    </row>
    <row r="61" spans="1:7" ht="12.75">
      <c r="A61" s="11" t="s">
        <v>143</v>
      </c>
      <c r="B61" s="17">
        <v>0</v>
      </c>
      <c r="C61" s="17">
        <v>0</v>
      </c>
      <c r="D61" s="17">
        <v>0</v>
      </c>
      <c r="E61" s="17">
        <v>0</v>
      </c>
      <c r="F61" s="17">
        <v>0</v>
      </c>
      <c r="G61" s="18">
        <f>IF(AND(F65&lt;&gt;434000,0&lt;&gt;0),IF(100*0/(F65-434000)&lt;0.005,"*",100*0/(F65-434000)),0)</f>
        <v>0</v>
      </c>
    </row>
    <row r="62" spans="1:7" ht="12.75">
      <c r="A62" s="11" t="s">
        <v>144</v>
      </c>
      <c r="B62" s="17">
        <v>15137</v>
      </c>
      <c r="C62" s="17">
        <v>136</v>
      </c>
      <c r="D62" s="17">
        <v>15153</v>
      </c>
      <c r="E62" s="17">
        <v>15289</v>
      </c>
      <c r="F62" s="17">
        <v>16067</v>
      </c>
      <c r="G62" s="18">
        <f>IF(AND(F65&lt;&gt;434000,16067&lt;&gt;0),IF(100*16067/(F65-434000)&lt;0.005,"*",100*16067/(F65-434000)),0)</f>
        <v>0.07829540470737294</v>
      </c>
    </row>
    <row r="63" spans="1:7" ht="12.75">
      <c r="A63" s="11" t="s">
        <v>145</v>
      </c>
      <c r="B63" s="17">
        <v>0</v>
      </c>
      <c r="C63" s="17">
        <v>0</v>
      </c>
      <c r="D63" s="17">
        <v>0</v>
      </c>
      <c r="E63" s="17">
        <v>0</v>
      </c>
      <c r="F63" s="17">
        <v>0</v>
      </c>
      <c r="G63" s="18">
        <f>IF(AND(F65&lt;&gt;434000,0&lt;&gt;0),IF(100*0/(F65-434000)&lt;0.005,"*",100*0/(F65-434000)),0)</f>
        <v>0</v>
      </c>
    </row>
    <row r="64" spans="1:7" ht="15">
      <c r="A64" s="11" t="s">
        <v>146</v>
      </c>
      <c r="B64" s="17">
        <v>0</v>
      </c>
      <c r="C64" s="23" t="s">
        <v>340</v>
      </c>
      <c r="D64" s="23" t="s">
        <v>341</v>
      </c>
      <c r="E64" s="17">
        <v>389000</v>
      </c>
      <c r="F64" s="23" t="s">
        <v>342</v>
      </c>
      <c r="G64" s="18">
        <v>0</v>
      </c>
    </row>
    <row r="65" spans="1:7" ht="15" customHeight="1">
      <c r="A65" s="19" t="s">
        <v>87</v>
      </c>
      <c r="B65" s="20">
        <f>188563+40807+174235+97864+3480189+242806+387129+40770+204957+868850+507976+112152+38570+919219+206628+97095+63929+202260+359303+84293+547480+943359+358373+232959+153589+240891+31303+67187+145155+85714+752029+74512+2444859+360281+33237+557615+130911+233291+610158+83778+150707+28858+221068+1045825+74676+51055+397813+476585+70616+152326+13744+0+32746+3616+193674+0+15137+0+0+0</f>
        <v>19332722</v>
      </c>
      <c r="C65" s="20">
        <f>1697+367+1568+881+31323+2185+3484+367+1845+7820+4572+1009+347+8273+1860+874+575+1820+3234+759+4927+8491+3225+2097+1382+2168+282+605+1306+771+6768+671+22004+3243+299+5019+1178+2100+5492+754+1356+260+1990+9413+672+460+3580+4289+636+1371+124+0+295+33+1743+0+136+0+77000+0</f>
        <v>251000</v>
      </c>
      <c r="D65" s="20">
        <v>19665000</v>
      </c>
      <c r="E65" s="20">
        <f>SUM(C65:D65)</f>
        <v>19916000</v>
      </c>
      <c r="F65" s="20">
        <f>200153+43315+184944+103879+3694097+257730+410924+43276+217554+922254+539199+119046+40941+975718+219328+103063+67858+214692+381387+89475+581130+1001343+380400+247278+163030+255698+33227+71316+154077+90982+798252+79092+2595131+382426+35280+591888+138957+247630+647661+88927+159970+30632+234656+1110107+79266+54193+422265+505878+74957+161688+14589+0+34758+3838+205578+0+16067+0+434000+0</f>
        <v>20955000</v>
      </c>
      <c r="G65" s="21" t="s">
        <v>343</v>
      </c>
    </row>
    <row r="66" spans="1:7" ht="15" customHeight="1">
      <c r="A66" s="33" t="s">
        <v>148</v>
      </c>
      <c r="B66" s="33"/>
      <c r="C66" s="33"/>
      <c r="D66" s="33"/>
      <c r="E66" s="33"/>
      <c r="F66" s="33"/>
      <c r="G66" s="33"/>
    </row>
    <row r="67" spans="1:7" ht="15" customHeight="1">
      <c r="A67" s="26" t="s">
        <v>344</v>
      </c>
      <c r="B67" s="26"/>
      <c r="C67" s="26"/>
      <c r="D67" s="26"/>
      <c r="E67" s="26"/>
      <c r="F67" s="26"/>
      <c r="G67" s="26"/>
    </row>
    <row r="68" spans="1:7" ht="30.75" customHeight="1">
      <c r="A68" s="26" t="s">
        <v>345</v>
      </c>
      <c r="B68" s="26"/>
      <c r="C68" s="26"/>
      <c r="D68" s="26"/>
      <c r="E68" s="26"/>
      <c r="F68" s="26"/>
      <c r="G68" s="26"/>
    </row>
    <row r="69" spans="1:7" ht="33" customHeight="1">
      <c r="A69" s="26" t="s">
        <v>346</v>
      </c>
      <c r="B69" s="26"/>
      <c r="C69" s="26"/>
      <c r="D69" s="26"/>
      <c r="E69" s="26"/>
      <c r="F69" s="26"/>
      <c r="G69" s="26"/>
    </row>
    <row r="70" spans="1:7" ht="15" customHeight="1">
      <c r="A70" s="26" t="s">
        <v>347</v>
      </c>
      <c r="B70" s="26"/>
      <c r="C70" s="26"/>
      <c r="D70" s="26"/>
      <c r="E70" s="26"/>
      <c r="F70" s="26"/>
      <c r="G70" s="26"/>
    </row>
  </sheetData>
  <sheetProtection/>
  <mergeCells count="9">
    <mergeCell ref="A68:G68"/>
    <mergeCell ref="A69:G69"/>
    <mergeCell ref="A70:G70"/>
    <mergeCell ref="A4:A5"/>
    <mergeCell ref="B4:B5"/>
    <mergeCell ref="F4:F5"/>
    <mergeCell ref="G4:G5"/>
    <mergeCell ref="A66:G66"/>
    <mergeCell ref="A67:G67"/>
  </mergeCells>
  <printOptions/>
  <pageMargins left="0.7" right="0.7" top="0.75" bottom="0.75" header="0.3" footer="0.3"/>
  <pageSetup fitToHeight="1" fitToWidth="1" orientation="portrait" paperSize="9"/>
</worksheet>
</file>

<file path=xl/worksheets/sheet28.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335</v>
      </c>
      <c r="B1" s="10"/>
      <c r="C1" s="10"/>
      <c r="D1" s="10"/>
      <c r="E1" s="10"/>
      <c r="F1" s="10"/>
      <c r="G1" s="12" t="s">
        <v>348</v>
      </c>
    </row>
    <row r="2" spans="1:7" ht="12.75">
      <c r="A2" s="13" t="s">
        <v>349</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56018</v>
      </c>
      <c r="C6" s="17">
        <v>2887</v>
      </c>
      <c r="D6" s="17">
        <v>54144</v>
      </c>
      <c r="E6" s="17">
        <v>57031</v>
      </c>
      <c r="F6" s="17">
        <v>55719</v>
      </c>
      <c r="G6" s="18">
        <f>IF(AND(F65&lt;&gt;749,55719&lt;&gt;0),IF(100*55719/(F65-749)&lt;0.005,"*",100*55719/(F65-749)),0)</f>
        <v>2.996466773147476</v>
      </c>
    </row>
    <row r="7" spans="1:7" ht="12.75">
      <c r="A7" s="11" t="s">
        <v>89</v>
      </c>
      <c r="B7" s="17">
        <v>2370</v>
      </c>
      <c r="C7" s="17">
        <v>122</v>
      </c>
      <c r="D7" s="17">
        <v>2291</v>
      </c>
      <c r="E7" s="17">
        <v>2413</v>
      </c>
      <c r="F7" s="17">
        <v>2357</v>
      </c>
      <c r="G7" s="18">
        <f>IF(AND(F65&lt;&gt;749,2357&lt;&gt;0),IF(100*2357/(F65-749)&lt;0.005,"*",100*2357/(F65-749)),0)</f>
        <v>0.12675518556163248</v>
      </c>
    </row>
    <row r="8" spans="1:7" ht="12.75">
      <c r="A8" s="11" t="s">
        <v>90</v>
      </c>
      <c r="B8" s="17">
        <v>8145</v>
      </c>
      <c r="C8" s="17">
        <v>420</v>
      </c>
      <c r="D8" s="17">
        <v>7872</v>
      </c>
      <c r="E8" s="17">
        <v>8292</v>
      </c>
      <c r="F8" s="17">
        <v>8101</v>
      </c>
      <c r="G8" s="18">
        <f>IF(AND(F65&lt;&gt;749,8101&lt;&gt;0),IF(100*8101/(F65-749)&lt;0.005,"*",100*8101/(F65-749)),0)</f>
        <v>0.43565708877165243</v>
      </c>
    </row>
    <row r="9" spans="1:7" ht="12.75">
      <c r="A9" s="11" t="s">
        <v>91</v>
      </c>
      <c r="B9" s="17">
        <v>20453</v>
      </c>
      <c r="C9" s="17">
        <v>1054</v>
      </c>
      <c r="D9" s="17">
        <v>19769</v>
      </c>
      <c r="E9" s="17">
        <v>20823</v>
      </c>
      <c r="F9" s="17">
        <v>20344</v>
      </c>
      <c r="G9" s="18">
        <f>IF(AND(F65&lt;&gt;749,20344&lt;&gt;0),IF(100*20344/(F65-749)&lt;0.005,"*",100*20344/(F65-749)),0)</f>
        <v>1.0940634259931488</v>
      </c>
    </row>
    <row r="10" spans="1:7" ht="12.75">
      <c r="A10" s="11" t="s">
        <v>92</v>
      </c>
      <c r="B10" s="17">
        <v>72532</v>
      </c>
      <c r="C10" s="17">
        <v>3738</v>
      </c>
      <c r="D10" s="17">
        <v>70106</v>
      </c>
      <c r="E10" s="17">
        <v>73844</v>
      </c>
      <c r="F10" s="17">
        <v>72146</v>
      </c>
      <c r="G10" s="18">
        <f>IF(AND(F65&lt;&gt;749,72146&lt;&gt;0),IF(100*72146/(F65-749)&lt;0.005,"*",100*72146/(F65-749)),0)</f>
        <v>3.87988104265148</v>
      </c>
    </row>
    <row r="11" spans="1:7" ht="12.75">
      <c r="A11" s="11" t="s">
        <v>93</v>
      </c>
      <c r="B11" s="17">
        <v>11031</v>
      </c>
      <c r="C11" s="17">
        <v>568</v>
      </c>
      <c r="D11" s="17">
        <v>10662</v>
      </c>
      <c r="E11" s="17">
        <v>11230</v>
      </c>
      <c r="F11" s="17">
        <v>10973</v>
      </c>
      <c r="G11" s="18">
        <f>IF(AND(F65&lt;&gt;749,10973&lt;&gt;0),IF(100*10973/(F65-749)&lt;0.005,"*",100*10973/(F65-749)),0)</f>
        <v>0.5901080403766624</v>
      </c>
    </row>
    <row r="12" spans="1:7" ht="12.75">
      <c r="A12" s="11" t="s">
        <v>94</v>
      </c>
      <c r="B12" s="17">
        <v>23669</v>
      </c>
      <c r="C12" s="17">
        <v>1220</v>
      </c>
      <c r="D12" s="17">
        <v>22877</v>
      </c>
      <c r="E12" s="17">
        <v>24097</v>
      </c>
      <c r="F12" s="17">
        <v>23543</v>
      </c>
      <c r="G12" s="18">
        <f>IF(AND(F65&lt;&gt;749,23543&lt;&gt;0),IF(100*23543/(F65-749)&lt;0.005,"*",100*23543/(F65-749)),0)</f>
        <v>1.266099844581041</v>
      </c>
    </row>
    <row r="13" spans="1:7" ht="12.75">
      <c r="A13" s="11" t="s">
        <v>95</v>
      </c>
      <c r="B13" s="17">
        <v>4200</v>
      </c>
      <c r="C13" s="17">
        <v>216</v>
      </c>
      <c r="D13" s="17">
        <v>4060</v>
      </c>
      <c r="E13" s="17">
        <v>4276</v>
      </c>
      <c r="F13" s="17">
        <v>4178</v>
      </c>
      <c r="G13" s="18">
        <f>IF(AND(F65&lt;&gt;749,4178&lt;&gt;0),IF(100*4178/(F65-749)&lt;0.005,"*",100*4178/(F65-749)),0)</f>
        <v>0.2246852631635556</v>
      </c>
    </row>
    <row r="14" spans="1:7" ht="12.75">
      <c r="A14" s="11" t="s">
        <v>96</v>
      </c>
      <c r="B14" s="17">
        <v>14207</v>
      </c>
      <c r="C14" s="17">
        <v>732</v>
      </c>
      <c r="D14" s="17">
        <v>13732</v>
      </c>
      <c r="E14" s="17">
        <v>14464</v>
      </c>
      <c r="F14" s="17">
        <v>14131</v>
      </c>
      <c r="G14" s="18">
        <f>IF(AND(F65&lt;&gt;749,14131&lt;&gt;0),IF(100*14131/(F65-749)&lt;0.005,"*",100*14131/(F65-749)),0)</f>
        <v>0.759939553318383</v>
      </c>
    </row>
    <row r="15" spans="1:7" ht="12.75">
      <c r="A15" s="11" t="s">
        <v>97</v>
      </c>
      <c r="B15" s="17">
        <v>50306</v>
      </c>
      <c r="C15" s="17">
        <v>2593</v>
      </c>
      <c r="D15" s="17">
        <v>48623</v>
      </c>
      <c r="E15" s="17">
        <v>51216</v>
      </c>
      <c r="F15" s="17">
        <v>50038</v>
      </c>
      <c r="G15" s="18">
        <f>IF(AND(F65&lt;&gt;749,50038&lt;&gt;0),IF(100*50038/(F65-749)&lt;0.005,"*",100*50038/(F65-749)),0)</f>
        <v>2.6909528956864515</v>
      </c>
    </row>
    <row r="16" spans="1:7" ht="12.75">
      <c r="A16" s="11" t="s">
        <v>98</v>
      </c>
      <c r="B16" s="17">
        <v>60561</v>
      </c>
      <c r="C16" s="17">
        <v>3121</v>
      </c>
      <c r="D16" s="17">
        <v>58535</v>
      </c>
      <c r="E16" s="17">
        <v>61656</v>
      </c>
      <c r="F16" s="17">
        <v>60238</v>
      </c>
      <c r="G16" s="18">
        <f>IF(AND(F65&lt;&gt;749,60238&lt;&gt;0),IF(100*60238/(F65-749)&lt;0.005,"*",100*60238/(F65-749)),0)</f>
        <v>3.239490397904802</v>
      </c>
    </row>
    <row r="17" spans="1:7" ht="12.75">
      <c r="A17" s="11" t="s">
        <v>99</v>
      </c>
      <c r="B17" s="17">
        <v>9318</v>
      </c>
      <c r="C17" s="17">
        <v>480</v>
      </c>
      <c r="D17" s="17">
        <v>9006</v>
      </c>
      <c r="E17" s="17">
        <v>9486</v>
      </c>
      <c r="F17" s="17">
        <v>9268</v>
      </c>
      <c r="G17" s="18">
        <f>IF(AND(F65&lt;&gt;749,9268&lt;&gt;0),IF(100*9268/(F65-749)&lt;0.005,"*",100*9268/(F65-749)),0)</f>
        <v>0.49841623240781074</v>
      </c>
    </row>
    <row r="18" spans="1:7" ht="12.75">
      <c r="A18" s="11" t="s">
        <v>100</v>
      </c>
      <c r="B18" s="17">
        <v>1408</v>
      </c>
      <c r="C18" s="17">
        <v>73</v>
      </c>
      <c r="D18" s="17">
        <v>1361</v>
      </c>
      <c r="E18" s="17">
        <v>1434</v>
      </c>
      <c r="F18" s="17">
        <v>1401</v>
      </c>
      <c r="G18" s="18">
        <f>IF(AND(F65&lt;&gt;749,1401&lt;&gt;0),IF(100*1401/(F65-749)&lt;0.005,"*",100*1401/(F65-749)),0)</f>
        <v>0.07534323927528516</v>
      </c>
    </row>
    <row r="19" spans="1:7" ht="12.75">
      <c r="A19" s="11" t="s">
        <v>101</v>
      </c>
      <c r="B19" s="17">
        <v>121726</v>
      </c>
      <c r="C19" s="17">
        <v>6274</v>
      </c>
      <c r="D19" s="17">
        <v>117653</v>
      </c>
      <c r="E19" s="17">
        <v>123927</v>
      </c>
      <c r="F19" s="17">
        <v>121077</v>
      </c>
      <c r="G19" s="18">
        <f>IF(AND(F65&lt;&gt;749,121077&lt;&gt;0),IF(100*121077/(F65-749)&lt;0.005,"*",100*121077/(F65-749)),0)</f>
        <v>6.511301485891293</v>
      </c>
    </row>
    <row r="20" spans="1:7" ht="12.75">
      <c r="A20" s="11" t="s">
        <v>102</v>
      </c>
      <c r="B20" s="17">
        <v>23163</v>
      </c>
      <c r="C20" s="17">
        <v>1193</v>
      </c>
      <c r="D20" s="17">
        <v>22388</v>
      </c>
      <c r="E20" s="17">
        <v>23581</v>
      </c>
      <c r="F20" s="17">
        <v>23039</v>
      </c>
      <c r="G20" s="18">
        <f>IF(AND(F65&lt;&gt;749,23039&lt;&gt;0),IF(100*23039/(F65-749)&lt;0.005,"*",100*23039/(F65-749)),0)</f>
        <v>1.2389956385890755</v>
      </c>
    </row>
    <row r="21" spans="1:7" ht="12.75">
      <c r="A21" s="11" t="s">
        <v>103</v>
      </c>
      <c r="B21" s="17">
        <v>4794</v>
      </c>
      <c r="C21" s="17">
        <v>247</v>
      </c>
      <c r="D21" s="17">
        <v>4633</v>
      </c>
      <c r="E21" s="17">
        <v>4880</v>
      </c>
      <c r="F21" s="17">
        <v>4768</v>
      </c>
      <c r="G21" s="18">
        <f>IF(AND(F65&lt;&gt;749,4768&lt;&gt;0),IF(100*4768/(F65-749)&lt;0.005,"*",100*4768/(F65-749)),0)</f>
        <v>0.2564143931938327</v>
      </c>
    </row>
    <row r="22" spans="1:7" ht="12.75">
      <c r="A22" s="11" t="s">
        <v>104</v>
      </c>
      <c r="B22" s="17">
        <v>10386</v>
      </c>
      <c r="C22" s="17">
        <v>535</v>
      </c>
      <c r="D22" s="17">
        <v>10039</v>
      </c>
      <c r="E22" s="17">
        <v>10574</v>
      </c>
      <c r="F22" s="17">
        <v>10331</v>
      </c>
      <c r="G22" s="18">
        <f>IF(AND(F65&lt;&gt;749,10331&lt;&gt;0),IF(100*10331/(F65-749)&lt;0.005,"*",100*10331/(F65-749)),0)</f>
        <v>0.5555824446488016</v>
      </c>
    </row>
    <row r="23" spans="1:7" ht="12.75">
      <c r="A23" s="11" t="s">
        <v>105</v>
      </c>
      <c r="B23" s="17">
        <v>32650</v>
      </c>
      <c r="C23" s="17">
        <v>1683</v>
      </c>
      <c r="D23" s="17">
        <v>31557</v>
      </c>
      <c r="E23" s="17">
        <v>33240</v>
      </c>
      <c r="F23" s="17">
        <v>32475</v>
      </c>
      <c r="G23" s="18">
        <f>IF(AND(F65&lt;&gt;749,32475&lt;&gt;0),IF(100*32475/(F65-749)&lt;0.005,"*",100*32475/(F65-749)),0)</f>
        <v>1.7464466063275415</v>
      </c>
    </row>
    <row r="24" spans="1:7" ht="12.75">
      <c r="A24" s="11" t="s">
        <v>106</v>
      </c>
      <c r="B24" s="17">
        <v>37224</v>
      </c>
      <c r="C24" s="17">
        <v>1919</v>
      </c>
      <c r="D24" s="17">
        <v>35978</v>
      </c>
      <c r="E24" s="17">
        <v>37897</v>
      </c>
      <c r="F24" s="17">
        <v>37025</v>
      </c>
      <c r="G24" s="18">
        <f>IF(AND(F65&lt;&gt;749,37025&lt;&gt;0),IF(100*37025/(F65-749)&lt;0.005,"*",100*37025/(F65-749)),0)</f>
        <v>1.9911373548661193</v>
      </c>
    </row>
    <row r="25" spans="1:7" ht="12.75">
      <c r="A25" s="11" t="s">
        <v>107</v>
      </c>
      <c r="B25" s="17">
        <v>6151</v>
      </c>
      <c r="C25" s="17">
        <v>317</v>
      </c>
      <c r="D25" s="17">
        <v>5945</v>
      </c>
      <c r="E25" s="17">
        <v>6262</v>
      </c>
      <c r="F25" s="17">
        <v>6118</v>
      </c>
      <c r="G25" s="18">
        <f>IF(AND(F65&lt;&gt;749,6118&lt;&gt;0),IF(100*6118/(F65-749)&lt;0.005,"*",100*6118/(F65-749)),0)</f>
        <v>0.32901494495802613</v>
      </c>
    </row>
    <row r="26" spans="1:7" ht="12.75">
      <c r="A26" s="11" t="s">
        <v>108</v>
      </c>
      <c r="B26" s="17">
        <v>28285</v>
      </c>
      <c r="C26" s="17">
        <v>1457</v>
      </c>
      <c r="D26" s="17">
        <v>27339</v>
      </c>
      <c r="E26" s="17">
        <v>28796</v>
      </c>
      <c r="F26" s="17">
        <v>28135</v>
      </c>
      <c r="G26" s="18">
        <f>IF(AND(F65&lt;&gt;749,28135&lt;&gt;0),IF(100*28135/(F65-749)&lt;0.005,"*",100*28135/(F65-749)),0)</f>
        <v>1.5130492769522825</v>
      </c>
    </row>
    <row r="27" spans="1:7" ht="12.75">
      <c r="A27" s="11" t="s">
        <v>109</v>
      </c>
      <c r="B27" s="17">
        <v>57008</v>
      </c>
      <c r="C27" s="17">
        <v>2938</v>
      </c>
      <c r="D27" s="17">
        <v>55101</v>
      </c>
      <c r="E27" s="17">
        <v>58039</v>
      </c>
      <c r="F27" s="17">
        <v>56704</v>
      </c>
      <c r="G27" s="18">
        <f>IF(AND(F65&lt;&gt;749,56704&lt;&gt;0),IF(100*56704/(F65-749)&lt;0.005,"*",100*56704/(F65-749)),0)</f>
        <v>3.0494382868420913</v>
      </c>
    </row>
    <row r="28" spans="1:7" ht="12.75">
      <c r="A28" s="11" t="s">
        <v>110</v>
      </c>
      <c r="B28" s="17">
        <v>37377</v>
      </c>
      <c r="C28" s="17">
        <v>1927</v>
      </c>
      <c r="D28" s="17">
        <v>36127</v>
      </c>
      <c r="E28" s="17">
        <v>38054</v>
      </c>
      <c r="F28" s="17">
        <v>37178</v>
      </c>
      <c r="G28" s="18">
        <f>IF(AND(F65&lt;&gt;749,37178&lt;&gt;0),IF(100*37178/(F65-749)&lt;0.005,"*",100*37178/(F65-749)),0)</f>
        <v>1.9993654173993944</v>
      </c>
    </row>
    <row r="29" spans="1:7" ht="12.75">
      <c r="A29" s="11" t="s">
        <v>111</v>
      </c>
      <c r="B29" s="17">
        <v>29616</v>
      </c>
      <c r="C29" s="17">
        <v>1526</v>
      </c>
      <c r="D29" s="17">
        <v>28625</v>
      </c>
      <c r="E29" s="17">
        <v>30151</v>
      </c>
      <c r="F29" s="17">
        <v>29458</v>
      </c>
      <c r="G29" s="18">
        <f>IF(AND(F65&lt;&gt;749,29458&lt;&gt;0),IF(100*29458/(F65-749)&lt;0.005,"*",100*29458/(F65-749)),0)</f>
        <v>1.5841978176811922</v>
      </c>
    </row>
    <row r="30" spans="1:7" ht="12.75">
      <c r="A30" s="11" t="s">
        <v>112</v>
      </c>
      <c r="B30" s="17">
        <v>15524</v>
      </c>
      <c r="C30" s="17">
        <v>800</v>
      </c>
      <c r="D30" s="17">
        <v>15004</v>
      </c>
      <c r="E30" s="17">
        <v>15804</v>
      </c>
      <c r="F30" s="17">
        <v>15441</v>
      </c>
      <c r="G30" s="18">
        <f>IF(AND(F65&lt;&gt;749,15441&lt;&gt;0),IF(100*15441/(F65-749)&lt;0.005,"*",100*15441/(F65-749)),0)</f>
        <v>0.8303889776228967</v>
      </c>
    </row>
    <row r="31" spans="1:7" ht="12.75">
      <c r="A31" s="11" t="s">
        <v>113</v>
      </c>
      <c r="B31" s="17">
        <v>28738</v>
      </c>
      <c r="C31" s="17">
        <v>1481</v>
      </c>
      <c r="D31" s="17">
        <v>27776</v>
      </c>
      <c r="E31" s="17">
        <v>29257</v>
      </c>
      <c r="F31" s="17">
        <v>28584</v>
      </c>
      <c r="G31" s="18">
        <f>IF(AND(F65&lt;&gt;749,28584&lt;&gt;0),IF(100*28584/(F65-749)&lt;0.005,"*",100*28584/(F65-749)),0)</f>
        <v>1.5371956826871884</v>
      </c>
    </row>
    <row r="32" spans="1:7" ht="12.75">
      <c r="A32" s="11" t="s">
        <v>114</v>
      </c>
      <c r="B32" s="17">
        <v>2613</v>
      </c>
      <c r="C32" s="17">
        <v>135</v>
      </c>
      <c r="D32" s="17">
        <v>2526</v>
      </c>
      <c r="E32" s="17">
        <v>2661</v>
      </c>
      <c r="F32" s="17">
        <v>2600</v>
      </c>
      <c r="G32" s="18">
        <f>IF(AND(F65&lt;&gt;749,2600&lt;&gt;0),IF(100*2600/(F65-749)&lt;0.005,"*",100*2600/(F65-749)),0)</f>
        <v>0.1398232848791873</v>
      </c>
    </row>
    <row r="33" spans="1:7" ht="12.75">
      <c r="A33" s="11" t="s">
        <v>115</v>
      </c>
      <c r="B33" s="17">
        <v>8055</v>
      </c>
      <c r="C33" s="17">
        <v>415</v>
      </c>
      <c r="D33" s="17">
        <v>7785</v>
      </c>
      <c r="E33" s="17">
        <v>8200</v>
      </c>
      <c r="F33" s="17">
        <v>8012</v>
      </c>
      <c r="G33" s="18">
        <f>IF(AND(F65&lt;&gt;749,8012&lt;&gt;0),IF(100*8012/(F65-749)&lt;0.005,"*",100*8012/(F65-749)),0)</f>
        <v>0.43087083017386485</v>
      </c>
    </row>
    <row r="34" spans="1:7" ht="12.75">
      <c r="A34" s="11" t="s">
        <v>116</v>
      </c>
      <c r="B34" s="17">
        <v>4820</v>
      </c>
      <c r="C34" s="17">
        <v>248</v>
      </c>
      <c r="D34" s="17">
        <v>4658</v>
      </c>
      <c r="E34" s="17">
        <v>4906</v>
      </c>
      <c r="F34" s="17">
        <v>4794</v>
      </c>
      <c r="G34" s="18">
        <f>IF(AND(F65&lt;&gt;749,4794&lt;&gt;0),IF(100*4794/(F65-749)&lt;0.005,"*",100*4794/(F65-749)),0)</f>
        <v>0.2578126260426246</v>
      </c>
    </row>
    <row r="35" spans="1:7" ht="12.75">
      <c r="A35" s="11" t="s">
        <v>117</v>
      </c>
      <c r="B35" s="17">
        <v>4743</v>
      </c>
      <c r="C35" s="17">
        <v>244</v>
      </c>
      <c r="D35" s="17">
        <v>4585</v>
      </c>
      <c r="E35" s="17">
        <v>4829</v>
      </c>
      <c r="F35" s="17">
        <v>4718</v>
      </c>
      <c r="G35" s="18">
        <f>IF(AND(F65&lt;&gt;749,4718&lt;&gt;0),IF(100*4718/(F65-749)&lt;0.005,"*",100*4718/(F65-749)),0)</f>
        <v>0.25372548386923294</v>
      </c>
    </row>
    <row r="36" spans="1:7" ht="12.75">
      <c r="A36" s="11" t="s">
        <v>118</v>
      </c>
      <c r="B36" s="17">
        <v>63387</v>
      </c>
      <c r="C36" s="17">
        <v>3267</v>
      </c>
      <c r="D36" s="17">
        <v>61267</v>
      </c>
      <c r="E36" s="17">
        <v>64534</v>
      </c>
      <c r="F36" s="17">
        <v>63049</v>
      </c>
      <c r="G36" s="18">
        <f>IF(AND(F65&lt;&gt;749,63049&lt;&gt;0),IF(100*63049/(F65-749)&lt;0.005,"*",100*63049/(F65-749)),0)</f>
        <v>3.3906608801338</v>
      </c>
    </row>
    <row r="37" spans="1:7" ht="12.75">
      <c r="A37" s="11" t="s">
        <v>119</v>
      </c>
      <c r="B37" s="17">
        <v>5639</v>
      </c>
      <c r="C37" s="17">
        <v>291</v>
      </c>
      <c r="D37" s="17">
        <v>5451</v>
      </c>
      <c r="E37" s="17">
        <v>5742</v>
      </c>
      <c r="F37" s="17">
        <v>5609</v>
      </c>
      <c r="G37" s="18">
        <f>IF(AND(F65&lt;&gt;749,5609&lt;&gt;0),IF(100*5609/(F65-749)&lt;0.005,"*",100*5609/(F65-749)),0)</f>
        <v>0.3016418480336006</v>
      </c>
    </row>
    <row r="38" spans="1:7" ht="12.75">
      <c r="A38" s="11" t="s">
        <v>120</v>
      </c>
      <c r="B38" s="17">
        <v>364325</v>
      </c>
      <c r="C38" s="17">
        <v>18777</v>
      </c>
      <c r="D38" s="17">
        <v>352136</v>
      </c>
      <c r="E38" s="17">
        <v>370913</v>
      </c>
      <c r="F38" s="17">
        <v>362382</v>
      </c>
      <c r="G38" s="18">
        <f>IF(AND(F65&lt;&gt;749,362382&lt;&gt;0),IF(100*362382/(F65-749)&lt;0.005,"*",100*362382/(F65-749)),0)</f>
        <v>19.488246777342173</v>
      </c>
    </row>
    <row r="39" spans="1:7" ht="12.75">
      <c r="A39" s="11" t="s">
        <v>121</v>
      </c>
      <c r="B39" s="17">
        <v>51289</v>
      </c>
      <c r="C39" s="17">
        <v>2644</v>
      </c>
      <c r="D39" s="17">
        <v>49573</v>
      </c>
      <c r="E39" s="17">
        <v>52217</v>
      </c>
      <c r="F39" s="17">
        <v>51016</v>
      </c>
      <c r="G39" s="18">
        <f>IF(AND(F65&lt;&gt;749,51016&lt;&gt;0),IF(100*51016/(F65-749)&lt;0.005,"*",100*51016/(F65-749)),0)</f>
        <v>2.7435479620756227</v>
      </c>
    </row>
    <row r="40" spans="1:7" ht="12.75">
      <c r="A40" s="11" t="s">
        <v>122</v>
      </c>
      <c r="B40" s="17">
        <v>2323</v>
      </c>
      <c r="C40" s="17">
        <v>120</v>
      </c>
      <c r="D40" s="17">
        <v>2245</v>
      </c>
      <c r="E40" s="17">
        <v>2365</v>
      </c>
      <c r="F40" s="17">
        <v>2311</v>
      </c>
      <c r="G40" s="18">
        <f>IF(AND(F65&lt;&gt;749,2311&lt;&gt;0),IF(100*2311/(F65-749)&lt;0.005,"*",100*2311/(F65-749)),0)</f>
        <v>0.12428138898300072</v>
      </c>
    </row>
    <row r="41" spans="1:7" ht="12.75">
      <c r="A41" s="11" t="s">
        <v>123</v>
      </c>
      <c r="B41" s="17">
        <v>78767</v>
      </c>
      <c r="C41" s="17">
        <v>4059</v>
      </c>
      <c r="D41" s="17">
        <v>76132</v>
      </c>
      <c r="E41" s="17">
        <v>80191</v>
      </c>
      <c r="F41" s="17">
        <v>78347</v>
      </c>
      <c r="G41" s="18">
        <f>IF(AND(F65&lt;&gt;749,78347&lt;&gt;0),IF(100*78347/(F65-749)&lt;0.005,"*",100*78347/(F65-749)),0)</f>
        <v>4.213359577088341</v>
      </c>
    </row>
    <row r="42" spans="1:7" ht="12.75">
      <c r="A42" s="11" t="s">
        <v>124</v>
      </c>
      <c r="B42" s="17">
        <v>15176</v>
      </c>
      <c r="C42" s="17">
        <v>782</v>
      </c>
      <c r="D42" s="17">
        <v>14669</v>
      </c>
      <c r="E42" s="17">
        <v>15451</v>
      </c>
      <c r="F42" s="17">
        <v>15096</v>
      </c>
      <c r="G42" s="18">
        <f>IF(AND(F65&lt;&gt;749,15096&lt;&gt;0),IF(100*15096/(F65-749)&lt;0.005,"*",100*15096/(F65-749)),0)</f>
        <v>0.8118355032831582</v>
      </c>
    </row>
    <row r="43" spans="1:7" ht="12.75">
      <c r="A43" s="11" t="s">
        <v>125</v>
      </c>
      <c r="B43" s="17">
        <v>9357</v>
      </c>
      <c r="C43" s="17">
        <v>482</v>
      </c>
      <c r="D43" s="17">
        <v>9044</v>
      </c>
      <c r="E43" s="17">
        <v>9526</v>
      </c>
      <c r="F43" s="17">
        <v>9307</v>
      </c>
      <c r="G43" s="18">
        <f>IF(AND(F65&lt;&gt;749,9307&lt;&gt;0),IF(100*9307/(F65-749)&lt;0.005,"*",100*9307/(F65-749)),0)</f>
        <v>0.5005135816809986</v>
      </c>
    </row>
    <row r="44" spans="1:7" ht="12.75">
      <c r="A44" s="11" t="s">
        <v>126</v>
      </c>
      <c r="B44" s="17">
        <v>115978</v>
      </c>
      <c r="C44" s="17">
        <v>5978</v>
      </c>
      <c r="D44" s="17">
        <v>112098</v>
      </c>
      <c r="E44" s="17">
        <v>118076</v>
      </c>
      <c r="F44" s="17">
        <v>115360</v>
      </c>
      <c r="G44" s="18">
        <f>IF(AND(F65&lt;&gt;749,115360&lt;&gt;0),IF(100*115360/(F65-749)&lt;0.005,"*",100*115360/(F65-749)),0)</f>
        <v>6.203851593716557</v>
      </c>
    </row>
    <row r="45" spans="1:7" ht="12.75">
      <c r="A45" s="11" t="s">
        <v>127</v>
      </c>
      <c r="B45" s="17">
        <v>13523</v>
      </c>
      <c r="C45" s="17">
        <v>697</v>
      </c>
      <c r="D45" s="17">
        <v>13071</v>
      </c>
      <c r="E45" s="17">
        <v>13768</v>
      </c>
      <c r="F45" s="17">
        <v>13451</v>
      </c>
      <c r="G45" s="18">
        <f>IF(AND(F65&lt;&gt;749,13451&lt;&gt;0),IF(100*13451/(F65-749)&lt;0.005,"*",100*13451/(F65-749)),0)</f>
        <v>0.7233703865038263</v>
      </c>
    </row>
    <row r="46" spans="1:7" ht="12.75">
      <c r="A46" s="11" t="s">
        <v>128</v>
      </c>
      <c r="B46" s="17">
        <v>21626</v>
      </c>
      <c r="C46" s="17">
        <v>1114</v>
      </c>
      <c r="D46" s="17">
        <v>20903</v>
      </c>
      <c r="E46" s="17">
        <v>22017</v>
      </c>
      <c r="F46" s="17">
        <v>21511</v>
      </c>
      <c r="G46" s="18">
        <f>IF(AND(F65&lt;&gt;749,21511&lt;&gt;0),IF(100*21511/(F65-749)&lt;0.005,"*",100*21511/(F65-749)),0)</f>
        <v>1.1568225696293069</v>
      </c>
    </row>
    <row r="47" spans="1:7" ht="12.75">
      <c r="A47" s="11" t="s">
        <v>129</v>
      </c>
      <c r="B47" s="17">
        <v>1804</v>
      </c>
      <c r="C47" s="17">
        <v>93</v>
      </c>
      <c r="D47" s="17">
        <v>1743</v>
      </c>
      <c r="E47" s="17">
        <v>1836</v>
      </c>
      <c r="F47" s="17">
        <v>1794</v>
      </c>
      <c r="G47" s="18">
        <f>IF(AND(F65&lt;&gt;749,1794&lt;&gt;0),IF(100*1794/(F65-749)&lt;0.005,"*",100*1794/(F65-749)),0)</f>
        <v>0.09647806656663924</v>
      </c>
    </row>
    <row r="48" spans="1:7" ht="12.75">
      <c r="A48" s="11" t="s">
        <v>130</v>
      </c>
      <c r="B48" s="17">
        <v>57773</v>
      </c>
      <c r="C48" s="17">
        <v>2978</v>
      </c>
      <c r="D48" s="17">
        <v>55841</v>
      </c>
      <c r="E48" s="17">
        <v>58819</v>
      </c>
      <c r="F48" s="17">
        <v>57465</v>
      </c>
      <c r="G48" s="18">
        <f>IF(AND(F65&lt;&gt;749,57465&lt;&gt;0),IF(100*57465/(F65-749)&lt;0.005,"*",100*57465/(F65-749)),0)</f>
        <v>3.0903634867624996</v>
      </c>
    </row>
    <row r="49" spans="1:7" ht="12.75">
      <c r="A49" s="11" t="s">
        <v>131</v>
      </c>
      <c r="B49" s="17">
        <v>79006</v>
      </c>
      <c r="C49" s="17">
        <v>4072</v>
      </c>
      <c r="D49" s="17">
        <v>76362</v>
      </c>
      <c r="E49" s="17">
        <v>80434</v>
      </c>
      <c r="F49" s="17">
        <v>78584</v>
      </c>
      <c r="G49" s="18">
        <f>IF(AND(F65&lt;&gt;749,78584&lt;&gt;0),IF(100*78584/(F65-749)&lt;0.005,"*",100*78584/(F65-749)),0)</f>
        <v>4.226105007286944</v>
      </c>
    </row>
    <row r="50" spans="1:7" ht="12.75">
      <c r="A50" s="11" t="s">
        <v>132</v>
      </c>
      <c r="B50" s="17">
        <v>2412</v>
      </c>
      <c r="C50" s="17">
        <v>124</v>
      </c>
      <c r="D50" s="17">
        <v>2332</v>
      </c>
      <c r="E50" s="17">
        <v>2456</v>
      </c>
      <c r="F50" s="17">
        <v>2400</v>
      </c>
      <c r="G50" s="18">
        <f>IF(AND(F65&lt;&gt;749,2400&lt;&gt;0),IF(100*2400/(F65-749)&lt;0.005,"*",100*2400/(F65-749)),0)</f>
        <v>0.1290676475807883</v>
      </c>
    </row>
    <row r="51" spans="1:7" ht="12.75">
      <c r="A51" s="11" t="s">
        <v>133</v>
      </c>
      <c r="B51" s="17">
        <v>1872</v>
      </c>
      <c r="C51" s="17">
        <v>96</v>
      </c>
      <c r="D51" s="17">
        <v>1810</v>
      </c>
      <c r="E51" s="17">
        <v>1906</v>
      </c>
      <c r="F51" s="17">
        <v>1862</v>
      </c>
      <c r="G51" s="18">
        <f>IF(AND(F65&lt;&gt;749,1862&lt;&gt;0),IF(100*1862/(F65-749)&lt;0.005,"*",100*1862/(F65-749)),0)</f>
        <v>0.1001349832480949</v>
      </c>
    </row>
    <row r="52" spans="1:7" ht="12.75">
      <c r="A52" s="11" t="s">
        <v>134</v>
      </c>
      <c r="B52" s="17">
        <v>34698</v>
      </c>
      <c r="C52" s="17">
        <v>1789</v>
      </c>
      <c r="D52" s="17">
        <v>33537</v>
      </c>
      <c r="E52" s="17">
        <v>35326</v>
      </c>
      <c r="F52" s="17">
        <v>34513</v>
      </c>
      <c r="G52" s="18">
        <f>IF(AND(F65&lt;&gt;749,34513&lt;&gt;0),IF(100*34513/(F65-749)&lt;0.005,"*",100*34513/(F65-749)),0)</f>
        <v>1.8560465503982275</v>
      </c>
    </row>
    <row r="53" spans="1:7" ht="12.75">
      <c r="A53" s="11" t="s">
        <v>135</v>
      </c>
      <c r="B53" s="17">
        <v>25674</v>
      </c>
      <c r="C53" s="17">
        <v>1323</v>
      </c>
      <c r="D53" s="17">
        <v>24815</v>
      </c>
      <c r="E53" s="17">
        <v>26138</v>
      </c>
      <c r="F53" s="17">
        <v>25537</v>
      </c>
      <c r="G53" s="18">
        <f>IF(AND(F65&lt;&gt;749,25537&lt;&gt;0),IF(100*25537/(F65-749)&lt;0.005,"*",100*25537/(F65-749)),0)</f>
        <v>1.3733335484460794</v>
      </c>
    </row>
    <row r="54" spans="1:7" ht="12.75">
      <c r="A54" s="11" t="s">
        <v>136</v>
      </c>
      <c r="B54" s="17">
        <v>8669</v>
      </c>
      <c r="C54" s="17">
        <v>447</v>
      </c>
      <c r="D54" s="17">
        <v>8379</v>
      </c>
      <c r="E54" s="17">
        <v>8826</v>
      </c>
      <c r="F54" s="17">
        <v>8623</v>
      </c>
      <c r="G54" s="18">
        <f>IF(AND(F65&lt;&gt;749,8623&lt;&gt;0),IF(100*8623/(F65-749)&lt;0.005,"*",100*8623/(F65-749)),0)</f>
        <v>0.4637293021204739</v>
      </c>
    </row>
    <row r="55" spans="1:7" ht="12.75">
      <c r="A55" s="11" t="s">
        <v>137</v>
      </c>
      <c r="B55" s="17">
        <v>17545</v>
      </c>
      <c r="C55" s="17">
        <v>904</v>
      </c>
      <c r="D55" s="17">
        <v>16958</v>
      </c>
      <c r="E55" s="17">
        <v>17862</v>
      </c>
      <c r="F55" s="17">
        <v>17451</v>
      </c>
      <c r="G55" s="18">
        <f>IF(AND(F65&lt;&gt;749,17451&lt;&gt;0),IF(100*17451/(F65-749)&lt;0.005,"*",100*17451/(F65-749)),0)</f>
        <v>0.9384831324718068</v>
      </c>
    </row>
    <row r="56" spans="1:7" ht="12.75">
      <c r="A56" s="11" t="s">
        <v>138</v>
      </c>
      <c r="B56" s="17">
        <v>814</v>
      </c>
      <c r="C56" s="17">
        <v>42</v>
      </c>
      <c r="D56" s="17">
        <v>787</v>
      </c>
      <c r="E56" s="17">
        <v>829</v>
      </c>
      <c r="F56" s="17">
        <v>810</v>
      </c>
      <c r="G56" s="18">
        <f>IF(AND(F65&lt;&gt;749,810&lt;&gt;0),IF(100*810/(F65-749)&lt;0.005,"*",100*810/(F65-749)),0)</f>
        <v>0.04356033105851605</v>
      </c>
    </row>
    <row r="57" spans="1:7" ht="12.75">
      <c r="A57" s="11" t="s">
        <v>139</v>
      </c>
      <c r="B57" s="17">
        <v>0</v>
      </c>
      <c r="C57" s="17">
        <v>0</v>
      </c>
      <c r="D57" s="17">
        <v>0</v>
      </c>
      <c r="E57" s="17">
        <v>0</v>
      </c>
      <c r="F57" s="17">
        <v>0</v>
      </c>
      <c r="G57" s="18">
        <f>IF(AND(F65&lt;&gt;749,0&lt;&gt;0),IF(100*0/(F65-749)&lt;0.005,"*",100*0/(F65-749)),0)</f>
        <v>0</v>
      </c>
    </row>
    <row r="58" spans="1:7" ht="12.75">
      <c r="A58" s="11" t="s">
        <v>140</v>
      </c>
      <c r="B58" s="17">
        <v>1307</v>
      </c>
      <c r="C58" s="17">
        <v>67</v>
      </c>
      <c r="D58" s="17">
        <v>1263</v>
      </c>
      <c r="E58" s="17">
        <v>1330</v>
      </c>
      <c r="F58" s="17">
        <v>1300</v>
      </c>
      <c r="G58" s="18">
        <f>IF(AND(F65&lt;&gt;749,1300&lt;&gt;0),IF(100*1300/(F65-749)&lt;0.005,"*",100*1300/(F65-749)),0)</f>
        <v>0.06991164243959365</v>
      </c>
    </row>
    <row r="59" spans="1:7" ht="12.75">
      <c r="A59" s="11" t="s">
        <v>141</v>
      </c>
      <c r="B59" s="17">
        <v>0</v>
      </c>
      <c r="C59" s="17">
        <v>0</v>
      </c>
      <c r="D59" s="17">
        <v>0</v>
      </c>
      <c r="E59" s="17">
        <v>0</v>
      </c>
      <c r="F59" s="17">
        <v>0</v>
      </c>
      <c r="G59" s="18">
        <f>IF(AND(F65&lt;&gt;749,0&lt;&gt;0),IF(100*0/(F65-749)&lt;0.005,"*",100*0/(F65-749)),0)</f>
        <v>0</v>
      </c>
    </row>
    <row r="60" spans="1:7" ht="12.75">
      <c r="A60" s="11" t="s">
        <v>142</v>
      </c>
      <c r="B60" s="17">
        <v>103637</v>
      </c>
      <c r="C60" s="17">
        <v>5342</v>
      </c>
      <c r="D60" s="17">
        <v>100169</v>
      </c>
      <c r="E60" s="17">
        <v>105511</v>
      </c>
      <c r="F60" s="17">
        <v>103084</v>
      </c>
      <c r="G60" s="18">
        <f>IF(AND(F65&lt;&gt;749,103084&lt;&gt;0),IF(100*103084/(F65-749)&lt;0.005,"*",100*103084/(F65-749)),0)</f>
        <v>5.5436705763408245</v>
      </c>
    </row>
    <row r="61" spans="1:7" ht="12.75">
      <c r="A61" s="11" t="s">
        <v>143</v>
      </c>
      <c r="B61" s="17">
        <v>0</v>
      </c>
      <c r="C61" s="17">
        <v>0</v>
      </c>
      <c r="D61" s="17">
        <v>0</v>
      </c>
      <c r="E61" s="17">
        <v>0</v>
      </c>
      <c r="F61" s="17">
        <v>0</v>
      </c>
      <c r="G61" s="18">
        <f>IF(AND(F65&lt;&gt;749,0&lt;&gt;0),IF(100*0/(F65-749)&lt;0.005,"*",100*0/(F65-749)),0)</f>
        <v>0</v>
      </c>
    </row>
    <row r="62" spans="1:7" ht="12.75">
      <c r="A62" s="11" t="s">
        <v>144</v>
      </c>
      <c r="B62" s="17">
        <v>5765</v>
      </c>
      <c r="C62" s="17">
        <v>297</v>
      </c>
      <c r="D62" s="17">
        <v>5572</v>
      </c>
      <c r="E62" s="17">
        <v>5869</v>
      </c>
      <c r="F62" s="17">
        <v>5734</v>
      </c>
      <c r="G62" s="18">
        <f>IF(AND(F65&lt;&gt;749,5734&lt;&gt;0),IF(100*5734/(F65-749)&lt;0.005,"*",100*5734/(F65-749)),0)</f>
        <v>0.3083641213451</v>
      </c>
    </row>
    <row r="63" spans="1:7" ht="12.75">
      <c r="A63" s="11" t="s">
        <v>145</v>
      </c>
      <c r="B63" s="17">
        <v>0</v>
      </c>
      <c r="C63" s="17">
        <v>0</v>
      </c>
      <c r="D63" s="17">
        <v>0</v>
      </c>
      <c r="E63" s="17">
        <v>0</v>
      </c>
      <c r="F63" s="17">
        <v>0</v>
      </c>
      <c r="G63" s="18">
        <f>IF(AND(F65&lt;&gt;749,0&lt;&gt;0),IF(100*0/(F65-749)&lt;0.005,"*",100*0/(F65-749)),0)</f>
        <v>0</v>
      </c>
    </row>
    <row r="64" spans="1:7" ht="12.75">
      <c r="A64" s="11" t="s">
        <v>146</v>
      </c>
      <c r="B64" s="17">
        <v>753</v>
      </c>
      <c r="C64" s="17">
        <v>39</v>
      </c>
      <c r="D64" s="17">
        <v>728</v>
      </c>
      <c r="E64" s="17">
        <v>767</v>
      </c>
      <c r="F64" s="17">
        <v>749</v>
      </c>
      <c r="G64" s="18">
        <v>0</v>
      </c>
    </row>
    <row r="65" spans="1:7" ht="15" customHeight="1">
      <c r="A65" s="19" t="s">
        <v>87</v>
      </c>
      <c r="B65" s="20">
        <f>56018+2370+8145+20453+72532+11031+23669+4200+14207+50306+60561+9318+1408+121726+23163+4794+10386+32650+37224+6151+28285+57008+37377+29616+15524+28738+2613+8055+4820+4743+63387+5639+364325+51289+2323+78767+15176+9357+115978+13523+21626+1804+57773+79006+2412+1872+34698+25674+8669+17545+814+0+1307+0+103637+0+5765+0+753+0</f>
        <v>1870210</v>
      </c>
      <c r="C65" s="20">
        <f>2887+122+420+1054+3738+568+1220+216+732+2593+3121+480+73+6274+1193+247+535+1683+1919+317+1457+2938+1927+1526+800+1481+135+415+248+244+3267+291+18777+2644+120+4059+782+482+5978+697+1114+93+2978+4072+124+96+1789+1323+447+904+42+0+67+0+5342+0+297+0+39+0</f>
        <v>96387</v>
      </c>
      <c r="D65" s="20">
        <f>54144+2291+7872+19769+70106+10662+22877+4060+13732+48623+58535+9006+1361+117653+22388+4633+10039+31557+35978+5945+27339+55101+36127+28625+15004+27776+2526+7785+4658+4585+61267+5451+352136+49573+2245+76132+14669+9044+112098+13071+20903+1743+55841+76362+2332+1810+33537+24815+8379+16958+787+0+1263+0+100169+0+5572+0+728+0</f>
        <v>1807642</v>
      </c>
      <c r="E65" s="20">
        <f>SUM(C65:D65)</f>
        <v>1904029</v>
      </c>
      <c r="F65" s="20">
        <f>55719+2357+8101+20344+72146+10973+23543+4178+14131+50038+60238+9268+1401+121077+23039+4768+10331+32475+37025+6118+28135+56704+37178+29458+15441+28584+2600+8012+4794+4718+63049+5609+362382+51016+2311+78347+15096+9307+115360+13451+21511+1794+57465+78584+2400+1862+34513+25537+8623+17451+810+0+1300+0+103084+0+5734+0+749+0</f>
        <v>1860239</v>
      </c>
      <c r="G65" s="21" t="s">
        <v>147</v>
      </c>
    </row>
    <row r="66" spans="1:7" ht="15" customHeight="1">
      <c r="A66" s="33" t="s">
        <v>148</v>
      </c>
      <c r="B66" s="33"/>
      <c r="C66" s="33"/>
      <c r="D66" s="33"/>
      <c r="E66" s="33"/>
      <c r="F66" s="33"/>
      <c r="G66" s="33"/>
    </row>
    <row r="67" spans="1:7" ht="15" customHeight="1">
      <c r="A67" s="26" t="s">
        <v>149</v>
      </c>
      <c r="B67" s="26"/>
      <c r="C67" s="26"/>
      <c r="D67" s="26"/>
      <c r="E67" s="26"/>
      <c r="F67" s="26"/>
      <c r="G67" s="26"/>
    </row>
  </sheetData>
  <sheetProtection/>
  <mergeCells count="6">
    <mergeCell ref="A67:G67"/>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350</v>
      </c>
      <c r="B1" s="10"/>
      <c r="C1" s="10"/>
      <c r="D1" s="10"/>
      <c r="E1" s="10"/>
      <c r="F1" s="10"/>
      <c r="G1" s="12" t="s">
        <v>351</v>
      </c>
    </row>
    <row r="2" spans="1:7" ht="12.75">
      <c r="A2" s="13" t="s">
        <v>352</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38829</v>
      </c>
      <c r="C6" s="17">
        <v>4838</v>
      </c>
      <c r="D6" s="17">
        <v>38779</v>
      </c>
      <c r="E6" s="17">
        <v>43617</v>
      </c>
      <c r="F6" s="17">
        <v>37162</v>
      </c>
      <c r="G6" s="18">
        <f>IF(AND(F65&lt;&gt;0,37162&lt;&gt;0),IF(100*37162/(F65-0)&lt;0.005,"*",100*37162/(F65-0)),0)</f>
        <v>1.2859869228120626</v>
      </c>
    </row>
    <row r="7" spans="1:7" ht="12.75">
      <c r="A7" s="11" t="s">
        <v>89</v>
      </c>
      <c r="B7" s="17">
        <v>4123</v>
      </c>
      <c r="C7" s="17">
        <v>0</v>
      </c>
      <c r="D7" s="17">
        <v>4168</v>
      </c>
      <c r="E7" s="17">
        <v>4168</v>
      </c>
      <c r="F7" s="17">
        <v>3868</v>
      </c>
      <c r="G7" s="18">
        <f>IF(AND(F65&lt;&gt;0,3868&lt;&gt;0),IF(100*3868/(F65-0)&lt;0.005,"*",100*3868/(F65-0)),0)</f>
        <v>0.13385171458578812</v>
      </c>
    </row>
    <row r="8" spans="1:7" ht="12.75">
      <c r="A8" s="11" t="s">
        <v>90</v>
      </c>
      <c r="B8" s="17">
        <v>47853</v>
      </c>
      <c r="C8" s="17">
        <v>1108</v>
      </c>
      <c r="D8" s="17">
        <v>48370</v>
      </c>
      <c r="E8" s="17">
        <v>49478</v>
      </c>
      <c r="F8" s="17">
        <v>45974</v>
      </c>
      <c r="G8" s="18">
        <f>IF(AND(F65&lt;&gt;0,45974&lt;&gt;0),IF(100*45974/(F65-0)&lt;0.005,"*",100*45974/(F65-0)),0)</f>
        <v>1.5909252136419398</v>
      </c>
    </row>
    <row r="9" spans="1:7" ht="12.75">
      <c r="A9" s="11" t="s">
        <v>91</v>
      </c>
      <c r="B9" s="17">
        <v>23664</v>
      </c>
      <c r="C9" s="17">
        <v>346</v>
      </c>
      <c r="D9" s="17">
        <v>23827</v>
      </c>
      <c r="E9" s="17">
        <v>24173</v>
      </c>
      <c r="F9" s="17">
        <v>21569</v>
      </c>
      <c r="G9" s="18">
        <f>IF(AND(F65&lt;&gt;0,21569&lt;&gt;0),IF(100*21569/(F65-0)&lt;0.005,"*",100*21569/(F65-0)),0)</f>
        <v>0.7463928727768521</v>
      </c>
    </row>
    <row r="10" spans="1:7" ht="12.75">
      <c r="A10" s="11" t="s">
        <v>92</v>
      </c>
      <c r="B10" s="17">
        <v>342048</v>
      </c>
      <c r="C10" s="17">
        <v>77857</v>
      </c>
      <c r="D10" s="17">
        <v>342714</v>
      </c>
      <c r="E10" s="17">
        <v>420571</v>
      </c>
      <c r="F10" s="17">
        <v>333317</v>
      </c>
      <c r="G10" s="18">
        <f>IF(AND(F65&lt;&gt;0,333317&lt;&gt;0),IF(100*333317/(F65-0)&lt;0.005,"*",100*333317/(F65-0)),0)</f>
        <v>11.534398125799157</v>
      </c>
    </row>
    <row r="11" spans="1:7" ht="12.75">
      <c r="A11" s="11" t="s">
        <v>93</v>
      </c>
      <c r="B11" s="17">
        <v>23480</v>
      </c>
      <c r="C11" s="17">
        <v>11503</v>
      </c>
      <c r="D11" s="17">
        <v>23438</v>
      </c>
      <c r="E11" s="17">
        <v>34941</v>
      </c>
      <c r="F11" s="17">
        <v>32012</v>
      </c>
      <c r="G11" s="18">
        <f>IF(AND(F65&lt;&gt;0,32012&lt;&gt;0),IF(100*32012/(F65-0)&lt;0.005,"*",100*32012/(F65-0)),0)</f>
        <v>1.10777173922447</v>
      </c>
    </row>
    <row r="12" spans="1:7" ht="12.75">
      <c r="A12" s="11" t="s">
        <v>94</v>
      </c>
      <c r="B12" s="17">
        <v>19035</v>
      </c>
      <c r="C12" s="17">
        <v>26677</v>
      </c>
      <c r="D12" s="17">
        <v>18968</v>
      </c>
      <c r="E12" s="17">
        <v>45645</v>
      </c>
      <c r="F12" s="17">
        <v>34112</v>
      </c>
      <c r="G12" s="18">
        <f>IF(AND(F65&lt;&gt;0,34112&lt;&gt;0),IF(100*34112/(F65-0)&lt;0.005,"*",100*34112/(F65-0)),0)</f>
        <v>1.1804420082601872</v>
      </c>
    </row>
    <row r="13" spans="1:7" ht="12.75">
      <c r="A13" s="11" t="s">
        <v>95</v>
      </c>
      <c r="B13" s="17">
        <v>4221</v>
      </c>
      <c r="C13" s="17">
        <v>2174</v>
      </c>
      <c r="D13" s="17">
        <v>4220</v>
      </c>
      <c r="E13" s="17">
        <v>6394</v>
      </c>
      <c r="F13" s="17">
        <v>6089</v>
      </c>
      <c r="G13" s="18">
        <f>IF(AND(F65&lt;&gt;0,6089&lt;&gt;0),IF(100*6089/(F65-0)&lt;0.005,"*",100*6089/(F65-0)),0)</f>
        <v>0.21070917531356356</v>
      </c>
    </row>
    <row r="14" spans="1:7" ht="12.75">
      <c r="A14" s="11" t="s">
        <v>96</v>
      </c>
      <c r="B14" s="17">
        <v>13970</v>
      </c>
      <c r="C14" s="17">
        <v>13736</v>
      </c>
      <c r="D14" s="17">
        <v>14013</v>
      </c>
      <c r="E14" s="17">
        <v>27749</v>
      </c>
      <c r="F14" s="17">
        <v>12772</v>
      </c>
      <c r="G14" s="18">
        <f>IF(AND(F65&lt;&gt;0,12772&lt;&gt;0),IF(100*12772/(F65-0)&lt;0.005,"*",100*12772/(F65-0)),0)</f>
        <v>0.44197365529723004</v>
      </c>
    </row>
    <row r="15" spans="1:7" ht="12.75">
      <c r="A15" s="11" t="s">
        <v>97</v>
      </c>
      <c r="B15" s="17">
        <v>128806</v>
      </c>
      <c r="C15" s="17">
        <v>101321</v>
      </c>
      <c r="D15" s="17">
        <v>130784</v>
      </c>
      <c r="E15" s="17">
        <v>232105</v>
      </c>
      <c r="F15" s="17">
        <v>122055</v>
      </c>
      <c r="G15" s="18">
        <f>IF(AND(F65&lt;&gt;0,122055&lt;&gt;0),IF(100*122055/(F65-0)&lt;0.005,"*",100*122055/(F65-0)),0)</f>
        <v>4.223699851025948</v>
      </c>
    </row>
    <row r="16" spans="1:7" ht="12.75">
      <c r="A16" s="11" t="s">
        <v>98</v>
      </c>
      <c r="B16" s="17">
        <v>73786</v>
      </c>
      <c r="C16" s="17">
        <v>1979</v>
      </c>
      <c r="D16" s="17">
        <v>74451</v>
      </c>
      <c r="E16" s="17">
        <v>76430</v>
      </c>
      <c r="F16" s="17">
        <v>71210</v>
      </c>
      <c r="G16" s="18">
        <f>IF(AND(F65&lt;&gt;0,71210&lt;&gt;0),IF(100*71210/(F65-0)&lt;0.005,"*",100*71210/(F65-0)),0)</f>
        <v>2.4642142181111613</v>
      </c>
    </row>
    <row r="17" spans="1:7" ht="12.75">
      <c r="A17" s="11" t="s">
        <v>99</v>
      </c>
      <c r="B17" s="17">
        <v>10457</v>
      </c>
      <c r="C17" s="17">
        <v>1712</v>
      </c>
      <c r="D17" s="17">
        <v>10437</v>
      </c>
      <c r="E17" s="17">
        <v>12149</v>
      </c>
      <c r="F17" s="17">
        <v>11396</v>
      </c>
      <c r="G17" s="18">
        <f>IF(AND(F65&lt;&gt;0,11396&lt;&gt;0),IF(100*11396/(F65-0)&lt;0.005,"*",100*11396/(F65-0)),0)</f>
        <v>0.3943573266338266</v>
      </c>
    </row>
    <row r="18" spans="1:7" ht="12.75">
      <c r="A18" s="11" t="s">
        <v>100</v>
      </c>
      <c r="B18" s="17">
        <v>12617</v>
      </c>
      <c r="C18" s="17">
        <v>1245</v>
      </c>
      <c r="D18" s="17">
        <v>12798</v>
      </c>
      <c r="E18" s="17">
        <v>14043</v>
      </c>
      <c r="F18" s="17">
        <v>10588</v>
      </c>
      <c r="G18" s="18">
        <f>IF(AND(F65&lt;&gt;0,10588&lt;&gt;0),IF(100*10588/(F65-0)&lt;0.005,"*",100*10588/(F65-0)),0)</f>
        <v>0.3663965755000839</v>
      </c>
    </row>
    <row r="19" spans="1:7" ht="12.75">
      <c r="A19" s="11" t="s">
        <v>101</v>
      </c>
      <c r="B19" s="17">
        <v>124901</v>
      </c>
      <c r="C19" s="17">
        <v>53153</v>
      </c>
      <c r="D19" s="17">
        <v>124874</v>
      </c>
      <c r="E19" s="17">
        <v>178027</v>
      </c>
      <c r="F19" s="17">
        <v>140313</v>
      </c>
      <c r="G19" s="18">
        <f>IF(AND(F65&lt;&gt;0,140313&lt;&gt;0),IF(100*140313/(F65-0)&lt;0.005,"*",100*140313/(F65-0)),0)</f>
        <v>4.855515932956486</v>
      </c>
    </row>
    <row r="20" spans="1:7" ht="12.75">
      <c r="A20" s="11" t="s">
        <v>102</v>
      </c>
      <c r="B20" s="17">
        <v>61252</v>
      </c>
      <c r="C20" s="17">
        <v>1852</v>
      </c>
      <c r="D20" s="17">
        <v>61363</v>
      </c>
      <c r="E20" s="17">
        <v>63215</v>
      </c>
      <c r="F20" s="17">
        <v>56074</v>
      </c>
      <c r="G20" s="18">
        <f>IF(AND(F65&lt;&gt;0,56074&lt;&gt;0),IF(100*56074/(F65-0)&lt;0.005,"*",100*56074/(F65-0)),0)</f>
        <v>1.9404346028137236</v>
      </c>
    </row>
    <row r="21" spans="1:7" ht="12.75">
      <c r="A21" s="11" t="s">
        <v>103</v>
      </c>
      <c r="B21" s="17">
        <v>33485</v>
      </c>
      <c r="C21" s="17">
        <v>3435</v>
      </c>
      <c r="D21" s="17">
        <v>33464</v>
      </c>
      <c r="E21" s="17">
        <v>36899</v>
      </c>
      <c r="F21" s="17">
        <v>30551</v>
      </c>
      <c r="G21" s="18">
        <f>IF(AND(F65&lt;&gt;0,30551&lt;&gt;0),IF(100*30551/(F65-0)&lt;0.005,"*",100*30551/(F65-0)),0)</f>
        <v>1.0572139949096206</v>
      </c>
    </row>
    <row r="22" spans="1:7" ht="12.75">
      <c r="A22" s="11" t="s">
        <v>104</v>
      </c>
      <c r="B22" s="17">
        <v>23061</v>
      </c>
      <c r="C22" s="17">
        <v>2705</v>
      </c>
      <c r="D22" s="17">
        <v>23090</v>
      </c>
      <c r="E22" s="17">
        <v>25795</v>
      </c>
      <c r="F22" s="17">
        <v>22079</v>
      </c>
      <c r="G22" s="18">
        <f>IF(AND(F65&lt;&gt;0,22079&lt;&gt;0),IF(100*22079/(F65-0)&lt;0.005,"*",100*22079/(F65-0)),0)</f>
        <v>0.7640413666855264</v>
      </c>
    </row>
    <row r="23" spans="1:7" ht="12.75">
      <c r="A23" s="11" t="s">
        <v>105</v>
      </c>
      <c r="B23" s="17">
        <v>38994</v>
      </c>
      <c r="C23" s="17">
        <v>0</v>
      </c>
      <c r="D23" s="17">
        <v>38934</v>
      </c>
      <c r="E23" s="17">
        <v>38934</v>
      </c>
      <c r="F23" s="17">
        <v>36136</v>
      </c>
      <c r="G23" s="18">
        <f>IF(AND(F65&lt;&gt;0,36136&lt;&gt;0),IF(100*36136/(F65-0)&lt;0.005,"*",100*36136/(F65-0)),0)</f>
        <v>1.2504823056546122</v>
      </c>
    </row>
    <row r="24" spans="1:7" ht="12.75">
      <c r="A24" s="11" t="s">
        <v>106</v>
      </c>
      <c r="B24" s="17">
        <v>54931</v>
      </c>
      <c r="C24" s="17">
        <v>9445</v>
      </c>
      <c r="D24" s="17">
        <v>54669</v>
      </c>
      <c r="E24" s="17">
        <v>64114</v>
      </c>
      <c r="F24" s="17">
        <v>39805</v>
      </c>
      <c r="G24" s="18">
        <f>IF(AND(F65&lt;&gt;0,39805&lt;&gt;0),IF(100*39805/(F65-0)&lt;0.005,"*",100*39805/(F65-0)),0)</f>
        <v>1.3774476471270156</v>
      </c>
    </row>
    <row r="25" spans="1:7" ht="12.75">
      <c r="A25" s="11" t="s">
        <v>107</v>
      </c>
      <c r="B25" s="17">
        <v>15189</v>
      </c>
      <c r="C25" s="17">
        <v>1298</v>
      </c>
      <c r="D25" s="17">
        <v>15072</v>
      </c>
      <c r="E25" s="17">
        <v>16370</v>
      </c>
      <c r="F25" s="17">
        <v>15277</v>
      </c>
      <c r="G25" s="18">
        <f>IF(AND(F65&lt;&gt;0,15277&lt;&gt;0),IF(100*15277/(F65-0)&lt;0.005,"*",100*15277/(F65-0)),0)</f>
        <v>0.5286589047898359</v>
      </c>
    </row>
    <row r="26" spans="1:7" ht="12.75">
      <c r="A26" s="11" t="s">
        <v>108</v>
      </c>
      <c r="B26" s="17">
        <v>16054</v>
      </c>
      <c r="C26" s="17">
        <v>28257</v>
      </c>
      <c r="D26" s="17">
        <v>16288</v>
      </c>
      <c r="E26" s="17">
        <v>44545</v>
      </c>
      <c r="F26" s="17">
        <v>43785</v>
      </c>
      <c r="G26" s="18">
        <f>IF(AND(F65&lt;&gt;0,43785&lt;&gt;0),IF(100*43785/(F65-0)&lt;0.005,"*",100*43785/(F65-0)),0)</f>
        <v>1.5151751093947086</v>
      </c>
    </row>
    <row r="27" spans="1:7" ht="12.75">
      <c r="A27" s="11" t="s">
        <v>109</v>
      </c>
      <c r="B27" s="17">
        <v>79413</v>
      </c>
      <c r="C27" s="17">
        <v>11830</v>
      </c>
      <c r="D27" s="17">
        <v>79390</v>
      </c>
      <c r="E27" s="17">
        <v>91220</v>
      </c>
      <c r="F27" s="17">
        <v>85513</v>
      </c>
      <c r="G27" s="18">
        <f>IF(AND(F65&lt;&gt;0,85513&lt;&gt;0),IF(100*85513/(F65-0)&lt;0.005,"*",100*85513/(F65-0)),0)</f>
        <v>2.959167960024431</v>
      </c>
    </row>
    <row r="28" spans="1:7" ht="12.75">
      <c r="A28" s="11" t="s">
        <v>110</v>
      </c>
      <c r="B28" s="17">
        <v>77211</v>
      </c>
      <c r="C28" s="17">
        <v>35107</v>
      </c>
      <c r="D28" s="17">
        <v>77034</v>
      </c>
      <c r="E28" s="17">
        <v>112141</v>
      </c>
      <c r="F28" s="17">
        <v>106060</v>
      </c>
      <c r="G28" s="18">
        <f>IF(AND(F65&lt;&gt;0,106060&lt;&gt;0),IF(100*106060/(F65-0)&lt;0.005,"*",100*106060/(F65-0)),0)</f>
        <v>3.6701946352039005</v>
      </c>
    </row>
    <row r="29" spans="1:7" ht="12.75">
      <c r="A29" s="11" t="s">
        <v>111</v>
      </c>
      <c r="B29" s="17">
        <v>48113</v>
      </c>
      <c r="C29" s="17">
        <v>0</v>
      </c>
      <c r="D29" s="17">
        <v>47866</v>
      </c>
      <c r="E29" s="17">
        <v>47866</v>
      </c>
      <c r="F29" s="17">
        <v>44291</v>
      </c>
      <c r="G29" s="18">
        <f>IF(AND(F65&lt;&gt;0,44291&lt;&gt;0),IF(100*44291/(F65-0)&lt;0.005,"*",100*44291/(F65-0)),0)</f>
        <v>1.5326851837433149</v>
      </c>
    </row>
    <row r="30" spans="1:7" ht="12.75">
      <c r="A30" s="11" t="s">
        <v>112</v>
      </c>
      <c r="B30" s="17">
        <v>26564</v>
      </c>
      <c r="C30" s="17">
        <v>1984</v>
      </c>
      <c r="D30" s="17">
        <v>26561</v>
      </c>
      <c r="E30" s="17">
        <v>28545</v>
      </c>
      <c r="F30" s="17">
        <v>24598</v>
      </c>
      <c r="G30" s="18">
        <f>IF(AND(F65&lt;&gt;0,24598&lt;&gt;0),IF(100*24598/(F65-0)&lt;0.005,"*",100*24598/(F65-0)),0)</f>
        <v>0.8512110846383703</v>
      </c>
    </row>
    <row r="31" spans="1:7" ht="12.75">
      <c r="A31" s="11" t="s">
        <v>113</v>
      </c>
      <c r="B31" s="17">
        <v>56674</v>
      </c>
      <c r="C31" s="17">
        <v>722</v>
      </c>
      <c r="D31" s="17">
        <v>56518</v>
      </c>
      <c r="E31" s="17">
        <v>57240</v>
      </c>
      <c r="F31" s="17">
        <v>52951</v>
      </c>
      <c r="G31" s="18">
        <f>IF(AND(F65&lt;&gt;0,52951&lt;&gt;0),IF(100*52951/(F65-0)&lt;0.005,"*",100*52951/(F65-0)),0)</f>
        <v>1.8323635312906066</v>
      </c>
    </row>
    <row r="32" spans="1:7" ht="12.75">
      <c r="A32" s="11" t="s">
        <v>114</v>
      </c>
      <c r="B32" s="17">
        <v>563</v>
      </c>
      <c r="C32" s="17">
        <v>6923</v>
      </c>
      <c r="D32" s="17">
        <v>567</v>
      </c>
      <c r="E32" s="17">
        <v>7490</v>
      </c>
      <c r="F32" s="17">
        <v>7496</v>
      </c>
      <c r="G32" s="18">
        <f>IF(AND(F65&lt;&gt;0,7496&lt;&gt;0),IF(100*7496/(F65-0)&lt;0.005,"*",100*7496/(F65-0)),0)</f>
        <v>0.25939825556749424</v>
      </c>
    </row>
    <row r="33" spans="1:7" ht="12.75">
      <c r="A33" s="11" t="s">
        <v>115</v>
      </c>
      <c r="B33" s="17">
        <v>7867</v>
      </c>
      <c r="C33" s="17">
        <v>9752</v>
      </c>
      <c r="D33" s="17">
        <v>7883</v>
      </c>
      <c r="E33" s="17">
        <v>17635</v>
      </c>
      <c r="F33" s="17">
        <v>15833</v>
      </c>
      <c r="G33" s="18">
        <f>IF(AND(F65&lt;&gt;0,15833&lt;&gt;0),IF(100*15833/(F65-0)&lt;0.005,"*",100*15833/(F65-0)),0)</f>
        <v>0.5478992236392924</v>
      </c>
    </row>
    <row r="34" spans="1:7" ht="12.75">
      <c r="A34" s="11" t="s">
        <v>116</v>
      </c>
      <c r="B34" s="17">
        <v>19037</v>
      </c>
      <c r="C34" s="17">
        <v>1217</v>
      </c>
      <c r="D34" s="17">
        <v>19093</v>
      </c>
      <c r="E34" s="17">
        <v>20310</v>
      </c>
      <c r="F34" s="17">
        <v>18587</v>
      </c>
      <c r="G34" s="18">
        <f>IF(AND(F65&lt;&gt;0,18587&lt;&gt;0),IF(100*18587/(F65-0)&lt;0.005,"*",100*18587/(F65-0)),0)</f>
        <v>0.6432010907461333</v>
      </c>
    </row>
    <row r="35" spans="1:7" ht="12.75">
      <c r="A35" s="11" t="s">
        <v>117</v>
      </c>
      <c r="B35" s="17">
        <v>10676</v>
      </c>
      <c r="C35" s="17">
        <v>878</v>
      </c>
      <c r="D35" s="17">
        <v>10697</v>
      </c>
      <c r="E35" s="17">
        <v>11575</v>
      </c>
      <c r="F35" s="17">
        <v>10523</v>
      </c>
      <c r="G35" s="18">
        <f>IF(AND(F65&lt;&gt;0,10523&lt;&gt;0),IF(100*10523/(F65-0)&lt;0.005,"*",100*10523/(F65-0)),0)</f>
        <v>0.3641472576489784</v>
      </c>
    </row>
    <row r="36" spans="1:7" ht="12.75">
      <c r="A36" s="11" t="s">
        <v>118</v>
      </c>
      <c r="B36" s="17">
        <v>73675</v>
      </c>
      <c r="C36" s="17">
        <v>29517</v>
      </c>
      <c r="D36" s="17">
        <v>73166</v>
      </c>
      <c r="E36" s="17">
        <v>102683</v>
      </c>
      <c r="F36" s="17">
        <v>73715</v>
      </c>
      <c r="G36" s="18">
        <f>IF(AND(F65&lt;&gt;0,73715&lt;&gt;0),IF(100*73715/(F65-0)&lt;0.005,"*",100*73715/(F65-0)),0)</f>
        <v>2.550899467603767</v>
      </c>
    </row>
    <row r="37" spans="1:7" ht="12.75">
      <c r="A37" s="11" t="s">
        <v>119</v>
      </c>
      <c r="B37" s="17">
        <v>12305</v>
      </c>
      <c r="C37" s="17">
        <v>4206</v>
      </c>
      <c r="D37" s="17">
        <v>12479</v>
      </c>
      <c r="E37" s="17">
        <v>16685</v>
      </c>
      <c r="F37" s="17">
        <v>15470</v>
      </c>
      <c r="G37" s="18">
        <f>IF(AND(F65&lt;&gt;0,15470&lt;&gt;0),IF(100*15470/(F65-0)&lt;0.005,"*",100*15470/(F65-0)),0)</f>
        <v>0.5353376485631185</v>
      </c>
    </row>
    <row r="38" spans="1:7" ht="12.75">
      <c r="A38" s="11" t="s">
        <v>120</v>
      </c>
      <c r="B38" s="17">
        <v>234613</v>
      </c>
      <c r="C38" s="17">
        <v>93483</v>
      </c>
      <c r="D38" s="17">
        <v>233825</v>
      </c>
      <c r="E38" s="17">
        <v>327308</v>
      </c>
      <c r="F38" s="17">
        <v>268922</v>
      </c>
      <c r="G38" s="18">
        <f>IF(AND(F65&lt;&gt;0,268922&lt;&gt;0),IF(100*268922/(F65-0)&lt;0.005,"*",100*268922/(F65-0)),0)</f>
        <v>9.306016233153906</v>
      </c>
    </row>
    <row r="39" spans="1:7" ht="12.75">
      <c r="A39" s="11" t="s">
        <v>121</v>
      </c>
      <c r="B39" s="17">
        <v>22613</v>
      </c>
      <c r="C39" s="17">
        <v>49458</v>
      </c>
      <c r="D39" s="17">
        <v>22890</v>
      </c>
      <c r="E39" s="17">
        <v>72348</v>
      </c>
      <c r="F39" s="17">
        <v>69428</v>
      </c>
      <c r="G39" s="18">
        <f>IF(AND(F65&lt;&gt;0,69428&lt;&gt;0),IF(100*69428/(F65-0)&lt;0.005,"*",100*69428/(F65-0)),0)</f>
        <v>2.4025483041008524</v>
      </c>
    </row>
    <row r="40" spans="1:7" ht="12.75">
      <c r="A40" s="11" t="s">
        <v>122</v>
      </c>
      <c r="B40" s="17">
        <v>4870</v>
      </c>
      <c r="C40" s="17">
        <v>346</v>
      </c>
      <c r="D40" s="17">
        <v>4881</v>
      </c>
      <c r="E40" s="17">
        <v>5227</v>
      </c>
      <c r="F40" s="17">
        <v>4571</v>
      </c>
      <c r="G40" s="18">
        <f>IF(AND(F65&lt;&gt;0,4571&lt;&gt;0),IF(100*4571/(F65-0)&lt;0.005,"*",100*4571/(F65-0)),0)</f>
        <v>0.15817895226774495</v>
      </c>
    </row>
    <row r="41" spans="1:7" ht="12.75">
      <c r="A41" s="11" t="s">
        <v>123</v>
      </c>
      <c r="B41" s="17">
        <v>136143</v>
      </c>
      <c r="C41" s="17">
        <v>7431</v>
      </c>
      <c r="D41" s="17">
        <v>135894</v>
      </c>
      <c r="E41" s="17">
        <v>143325</v>
      </c>
      <c r="F41" s="17">
        <v>127187</v>
      </c>
      <c r="G41" s="18">
        <f>IF(AND(F65&lt;&gt;0,127187&lt;&gt;0),IF(100*127187/(F65-0)&lt;0.005,"*",100*127187/(F65-0)),0)</f>
        <v>4.401292146593235</v>
      </c>
    </row>
    <row r="42" spans="1:7" ht="12.75">
      <c r="A42" s="11" t="s">
        <v>124</v>
      </c>
      <c r="B42" s="17">
        <v>28250</v>
      </c>
      <c r="C42" s="17">
        <v>700</v>
      </c>
      <c r="D42" s="17">
        <v>28328</v>
      </c>
      <c r="E42" s="17">
        <v>29028</v>
      </c>
      <c r="F42" s="17">
        <v>22422</v>
      </c>
      <c r="G42" s="18">
        <f>IF(AND(F65&lt;&gt;0,22422&lt;&gt;0),IF(100*22422/(F65-0)&lt;0.005,"*",100*22422/(F65-0)),0)</f>
        <v>0.7759108439613602</v>
      </c>
    </row>
    <row r="43" spans="1:7" ht="12.75">
      <c r="A43" s="11" t="s">
        <v>125</v>
      </c>
      <c r="B43" s="17">
        <v>30004</v>
      </c>
      <c r="C43" s="17">
        <v>1512</v>
      </c>
      <c r="D43" s="17">
        <v>30195</v>
      </c>
      <c r="E43" s="17">
        <v>31707</v>
      </c>
      <c r="F43" s="17">
        <v>29356</v>
      </c>
      <c r="G43" s="18">
        <f>IF(AND(F65&lt;&gt;0,29356&lt;&gt;0),IF(100*29356/(F65-0)&lt;0.005,"*",100*29356/(F65-0)),0)</f>
        <v>1.0158611513392957</v>
      </c>
    </row>
    <row r="44" spans="1:7" ht="12.75">
      <c r="A44" s="11" t="s">
        <v>126</v>
      </c>
      <c r="B44" s="17">
        <v>128832</v>
      </c>
      <c r="C44" s="17">
        <v>91458</v>
      </c>
      <c r="D44" s="17">
        <v>128489</v>
      </c>
      <c r="E44" s="17">
        <v>219947</v>
      </c>
      <c r="F44" s="17">
        <v>159873</v>
      </c>
      <c r="G44" s="18">
        <f>IF(AND(F65&lt;&gt;0,159873&lt;&gt;0),IF(100*159873/(F65-0)&lt;0.005,"*",100*159873/(F65-0)),0)</f>
        <v>5.532387581689169</v>
      </c>
    </row>
    <row r="45" spans="1:7" ht="12.75">
      <c r="A45" s="11" t="s">
        <v>127</v>
      </c>
      <c r="B45" s="17">
        <v>9391</v>
      </c>
      <c r="C45" s="17">
        <v>11630</v>
      </c>
      <c r="D45" s="17">
        <v>9270</v>
      </c>
      <c r="E45" s="17">
        <v>20900</v>
      </c>
      <c r="F45" s="17">
        <v>14454</v>
      </c>
      <c r="G45" s="18">
        <f>IF(AND(F65&lt;&gt;0,14454&lt;&gt;0),IF(100*14454/(F65-0)&lt;0.005,"*",100*14454/(F65-0)),0)</f>
        <v>0.500179080305838</v>
      </c>
    </row>
    <row r="46" spans="1:7" ht="12.75">
      <c r="A46" s="11" t="s">
        <v>128</v>
      </c>
      <c r="B46" s="17">
        <v>34286</v>
      </c>
      <c r="C46" s="17">
        <v>1304</v>
      </c>
      <c r="D46" s="17">
        <v>34429</v>
      </c>
      <c r="E46" s="17">
        <v>35733</v>
      </c>
      <c r="F46" s="17">
        <v>31964</v>
      </c>
      <c r="G46" s="18">
        <f>IF(AND(F65&lt;&gt;0,31964&lt;&gt;0),IF(100*31964/(F65-0)&lt;0.005,"*",100*31964/(F65-0)),0)</f>
        <v>1.1061107045036533</v>
      </c>
    </row>
    <row r="47" spans="1:7" ht="12.75">
      <c r="A47" s="11" t="s">
        <v>129</v>
      </c>
      <c r="B47" s="17">
        <v>6382</v>
      </c>
      <c r="C47" s="17">
        <v>0</v>
      </c>
      <c r="D47" s="17">
        <v>6381</v>
      </c>
      <c r="E47" s="17">
        <v>6381</v>
      </c>
      <c r="F47" s="17">
        <v>5923</v>
      </c>
      <c r="G47" s="18">
        <f>IF(AND(F65&lt;&gt;0,5923&lt;&gt;0),IF(100*5923/(F65-0)&lt;0.005,"*",100*5923/(F65-0)),0)</f>
        <v>0.20496476357074017</v>
      </c>
    </row>
    <row r="48" spans="1:7" ht="12.75">
      <c r="A48" s="11" t="s">
        <v>130</v>
      </c>
      <c r="B48" s="17">
        <v>44110</v>
      </c>
      <c r="C48" s="17">
        <v>993</v>
      </c>
      <c r="D48" s="17">
        <v>44255</v>
      </c>
      <c r="E48" s="17">
        <v>45248</v>
      </c>
      <c r="F48" s="17">
        <v>42071</v>
      </c>
      <c r="G48" s="18">
        <f>IF(AND(F65&lt;&gt;0,42071&lt;&gt;0),IF(100*42071/(F65-0)&lt;0.005,"*",100*42071/(F65-0)),0)</f>
        <v>1.4558623279055563</v>
      </c>
    </row>
    <row r="49" spans="1:7" ht="12.75">
      <c r="A49" s="11" t="s">
        <v>131</v>
      </c>
      <c r="B49" s="17">
        <v>214293</v>
      </c>
      <c r="C49" s="17">
        <v>103544</v>
      </c>
      <c r="D49" s="17">
        <v>214521</v>
      </c>
      <c r="E49" s="17">
        <v>318065</v>
      </c>
      <c r="F49" s="17">
        <v>200441</v>
      </c>
      <c r="G49" s="18">
        <f>IF(AND(F65&lt;&gt;0,200441&lt;&gt;0),IF(100*200441/(F65-0)&lt;0.005,"*",100*200441/(F65-0)),0)</f>
        <v>6.936238759899162</v>
      </c>
    </row>
    <row r="50" spans="1:7" ht="12.75">
      <c r="A50" s="11" t="s">
        <v>132</v>
      </c>
      <c r="B50" s="17">
        <v>12916</v>
      </c>
      <c r="C50" s="17">
        <v>9979</v>
      </c>
      <c r="D50" s="17">
        <v>13014</v>
      </c>
      <c r="E50" s="17">
        <v>22993</v>
      </c>
      <c r="F50" s="17">
        <v>18505</v>
      </c>
      <c r="G50" s="18">
        <f>IF(AND(F65&lt;&gt;0,18505&lt;&gt;0),IF(100*18505/(F65-0)&lt;0.005,"*",100*18505/(F65-0)),0)</f>
        <v>0.6403634897647387</v>
      </c>
    </row>
    <row r="51" spans="1:7" ht="12.75">
      <c r="A51" s="11" t="s">
        <v>133</v>
      </c>
      <c r="B51" s="17">
        <v>7071</v>
      </c>
      <c r="C51" s="17">
        <v>0</v>
      </c>
      <c r="D51" s="17">
        <v>7064</v>
      </c>
      <c r="E51" s="17">
        <v>7064</v>
      </c>
      <c r="F51" s="17">
        <v>6556</v>
      </c>
      <c r="G51" s="18">
        <f>IF(AND(F65&lt;&gt;0,6556&lt;&gt;0),IF(100*6556/(F65-0)&lt;0.005,"*",100*6556/(F65-0)),0)</f>
        <v>0.22686965895150643</v>
      </c>
    </row>
    <row r="52" spans="1:7" ht="12.75">
      <c r="A52" s="11" t="s">
        <v>134</v>
      </c>
      <c r="B52" s="17">
        <v>41755</v>
      </c>
      <c r="C52" s="17">
        <v>15621</v>
      </c>
      <c r="D52" s="17">
        <v>41882</v>
      </c>
      <c r="E52" s="17">
        <v>57503</v>
      </c>
      <c r="F52" s="17">
        <v>47633</v>
      </c>
      <c r="G52" s="18">
        <f>IF(AND(F65&lt;&gt;0,47633&lt;&gt;0),IF(100*47633/(F65-0)&lt;0.005,"*",100*47633/(F65-0)),0)</f>
        <v>1.6483347261801564</v>
      </c>
    </row>
    <row r="53" spans="1:7" ht="12.75">
      <c r="A53" s="11" t="s">
        <v>135</v>
      </c>
      <c r="B53" s="17">
        <v>46977</v>
      </c>
      <c r="C53" s="17">
        <v>4272</v>
      </c>
      <c r="D53" s="17">
        <v>47472</v>
      </c>
      <c r="E53" s="17">
        <v>51744</v>
      </c>
      <c r="F53" s="17">
        <v>47881</v>
      </c>
      <c r="G53" s="18">
        <f>IF(AND(F65&lt;&gt;0,47881&lt;&gt;0),IF(100*47881/(F65-0)&lt;0.005,"*",100*47881/(F65-0)),0)</f>
        <v>1.6569167389043746</v>
      </c>
    </row>
    <row r="54" spans="1:7" ht="12.75">
      <c r="A54" s="11" t="s">
        <v>136</v>
      </c>
      <c r="B54" s="17">
        <v>18661</v>
      </c>
      <c r="C54" s="17">
        <v>367</v>
      </c>
      <c r="D54" s="17">
        <v>18525</v>
      </c>
      <c r="E54" s="17">
        <v>18892</v>
      </c>
      <c r="F54" s="17">
        <v>17200</v>
      </c>
      <c r="G54" s="18">
        <f>IF(AND(F65&lt;&gt;0,17200&lt;&gt;0),IF(100*17200/(F65-0)&lt;0.005,"*",100*17200/(F65-0)),0)</f>
        <v>0.5952041082925428</v>
      </c>
    </row>
    <row r="55" spans="1:7" ht="12.75">
      <c r="A55" s="11" t="s">
        <v>137</v>
      </c>
      <c r="B55" s="17">
        <v>48706</v>
      </c>
      <c r="C55" s="17">
        <v>186</v>
      </c>
      <c r="D55" s="17">
        <v>48651</v>
      </c>
      <c r="E55" s="17">
        <v>48837</v>
      </c>
      <c r="F55" s="17">
        <v>52935</v>
      </c>
      <c r="G55" s="18">
        <f>IF(AND(F65&lt;&gt;0,52935&lt;&gt;0),IF(100*52935/(F65-0)&lt;0.005,"*",100*52935/(F65-0)),0)</f>
        <v>1.8318098530503346</v>
      </c>
    </row>
    <row r="56" spans="1:7" ht="12.75">
      <c r="A56" s="11" t="s">
        <v>138</v>
      </c>
      <c r="B56" s="17">
        <v>5903</v>
      </c>
      <c r="C56" s="17">
        <v>273</v>
      </c>
      <c r="D56" s="17">
        <v>5882</v>
      </c>
      <c r="E56" s="17">
        <v>6155</v>
      </c>
      <c r="F56" s="17">
        <v>3027</v>
      </c>
      <c r="G56" s="18">
        <f>IF(AND(F65&lt;&gt;0,3027&lt;&gt;0),IF(100*3027/(F65-0)&lt;0.005,"*",100*3027/(F65-0)),0)</f>
        <v>0.10474900208148413</v>
      </c>
    </row>
    <row r="57" spans="1:7" ht="12.75">
      <c r="A57" s="11" t="s">
        <v>139</v>
      </c>
      <c r="B57" s="17">
        <v>1028</v>
      </c>
      <c r="C57" s="17">
        <v>0</v>
      </c>
      <c r="D57" s="17">
        <v>1022</v>
      </c>
      <c r="E57" s="17">
        <v>1022</v>
      </c>
      <c r="F57" s="17">
        <v>1022</v>
      </c>
      <c r="G57" s="18">
        <f>IF(AND(F65&lt;&gt;0,1022&lt;&gt;0),IF(100*1022/(F65-0)&lt;0.005,"*",100*1022/(F65-0)),0)</f>
        <v>0.035366197597382486</v>
      </c>
    </row>
    <row r="58" spans="1:7" ht="12.75">
      <c r="A58" s="11" t="s">
        <v>140</v>
      </c>
      <c r="B58" s="17">
        <v>3026</v>
      </c>
      <c r="C58" s="17">
        <v>3036</v>
      </c>
      <c r="D58" s="17">
        <v>3034</v>
      </c>
      <c r="E58" s="17">
        <v>6070</v>
      </c>
      <c r="F58" s="17">
        <v>3044</v>
      </c>
      <c r="G58" s="18">
        <f>IF(AND(F65&lt;&gt;0,3044&lt;&gt;0),IF(100*3044/(F65-0)&lt;0.005,"*",100*3044/(F65-0)),0)</f>
        <v>0.10533728521177328</v>
      </c>
    </row>
    <row r="59" spans="1:7" ht="12.75">
      <c r="A59" s="11" t="s">
        <v>141</v>
      </c>
      <c r="B59" s="17">
        <v>965</v>
      </c>
      <c r="C59" s="17">
        <v>971</v>
      </c>
      <c r="D59" s="17">
        <v>979</v>
      </c>
      <c r="E59" s="17">
        <v>1950</v>
      </c>
      <c r="F59" s="17">
        <v>985</v>
      </c>
      <c r="G59" s="18">
        <f>IF(AND(F65&lt;&gt;0,985&lt;&gt;0),IF(100*985/(F65-0)&lt;0.005,"*",100*985/(F65-0)),0)</f>
        <v>0.03408581666675318</v>
      </c>
    </row>
    <row r="60" spans="1:7" ht="12.75">
      <c r="A60" s="11" t="s">
        <v>142</v>
      </c>
      <c r="B60" s="17">
        <v>56208</v>
      </c>
      <c r="C60" s="17">
        <v>1336</v>
      </c>
      <c r="D60" s="17">
        <v>53822</v>
      </c>
      <c r="E60" s="17">
        <v>55158</v>
      </c>
      <c r="F60" s="17">
        <v>51235</v>
      </c>
      <c r="G60" s="18">
        <f>IF(AND(F65&lt;&gt;0,51235&lt;&gt;0),IF(100*51235/(F65-0)&lt;0.005,"*",100*51235/(F65-0)),0)</f>
        <v>1.7729815400214204</v>
      </c>
    </row>
    <row r="61" spans="1:7" ht="12.75">
      <c r="A61" s="11" t="s">
        <v>143</v>
      </c>
      <c r="B61" s="17">
        <v>0</v>
      </c>
      <c r="C61" s="17">
        <v>0</v>
      </c>
      <c r="D61" s="17">
        <v>0</v>
      </c>
      <c r="E61" s="17">
        <v>0</v>
      </c>
      <c r="F61" s="17">
        <v>0</v>
      </c>
      <c r="G61" s="18">
        <f>IF(AND(F65&lt;&gt;0,0&lt;&gt;0),IF(100*0/(F65-0)&lt;0.005,"*",100*0/(F65-0)),0)</f>
        <v>0</v>
      </c>
    </row>
    <row r="62" spans="1:7" ht="12.75">
      <c r="A62" s="11" t="s">
        <v>144</v>
      </c>
      <c r="B62" s="17">
        <v>1976</v>
      </c>
      <c r="C62" s="17">
        <v>1965</v>
      </c>
      <c r="D62" s="17">
        <v>1960</v>
      </c>
      <c r="E62" s="17">
        <v>3925</v>
      </c>
      <c r="F62" s="17">
        <v>1949</v>
      </c>
      <c r="G62" s="18">
        <f>IF(AND(F65&lt;&gt;0,1949&lt;&gt;0),IF(100*1949/(F65-0)&lt;0.005,"*",100*1949/(F65-0)),0)</f>
        <v>0.06744493064314919</v>
      </c>
    </row>
    <row r="63" spans="1:7" ht="12.75">
      <c r="A63" s="11" t="s">
        <v>145</v>
      </c>
      <c r="B63" s="17">
        <v>13276</v>
      </c>
      <c r="C63" s="17">
        <v>68697</v>
      </c>
      <c r="D63" s="17">
        <v>60000</v>
      </c>
      <c r="E63" s="17">
        <v>128697</v>
      </c>
      <c r="F63" s="17">
        <v>80000</v>
      </c>
      <c r="G63" s="18">
        <f>IF(AND(F65&lt;&gt;0,80000&lt;&gt;0),IF(100*80000/(F65-0)&lt;0.005,"*",100*80000/(F65-0)),0)</f>
        <v>2.7683912013606644</v>
      </c>
    </row>
    <row r="64" spans="1:7" ht="12.75">
      <c r="A64" s="11" t="s">
        <v>146</v>
      </c>
      <c r="B64" s="17">
        <v>0</v>
      </c>
      <c r="C64" s="17">
        <v>0</v>
      </c>
      <c r="D64" s="17">
        <v>0</v>
      </c>
      <c r="E64" s="17">
        <v>0</v>
      </c>
      <c r="F64" s="17">
        <v>0</v>
      </c>
      <c r="G64" s="18">
        <v>0</v>
      </c>
    </row>
    <row r="65" spans="1:7" ht="15" customHeight="1">
      <c r="A65" s="19" t="s">
        <v>87</v>
      </c>
      <c r="B65" s="20">
        <f>38829+4123+47853+23664+342048+23480+19035+4221+13970+128806+73786+10457+12617+124901+61252+33485+23061+38994+54931+15189+16054+79413+77211+48113+26564+56674+563+7867+19037+10676+73675+12305+234613+22613+4870+136143+28250+30004+128832+9391+34286+6382+44110+214293+12916+7071+41755+46977+18661+48706+5903+1028+3026+965+56208+0+1976+13276+0+0</f>
        <v>2675109</v>
      </c>
      <c r="C65" s="20">
        <f>4838+0+1108+346+77857+11503+26677+2174+13736+101321+1979+1712+1245+53153+1852+3435+2705+0+9445+1298+28257+11830+35107+0+1984+722+6923+9752+1217+878+29517+4206+93483+49458+346+7431+700+1512+91458+11630+1304+0+993+103544+9979+0+15621+4272+367+186+273+0+3036+971+1336+0+1965+68697+0+0</f>
        <v>915339</v>
      </c>
      <c r="D65" s="20">
        <f>38779+4168+48370+23827+342714+23438+18968+4220+14013+130784+74451+10437+12798+124874+61363+33464+23090+38934+54669+15072+16288+79390+77034+47866+26561+56518+567+7883+19093+10697+73166+12479+233825+22890+4881+135894+28328+30195+128489+9270+34429+6381+44255+214521+13014+7064+41882+47472+18525+48651+5882+1022+3034+979+53822+0+1960+60000+0+0</f>
        <v>2722640</v>
      </c>
      <c r="E65" s="20">
        <f>SUM(C65:D65)</f>
        <v>3637979</v>
      </c>
      <c r="F65" s="20">
        <f>37162+3868+45974+21569+333317+32012+34112+6089+12772+122055+71210+11396+10588+140313+56074+30551+22079+36136+39805+15277+43785+85513+106060+44291+24598+52951+7496+15833+18587+10523+73715+15470+268922+69428+4571+127187+22422+29356+159873+14454+31964+5923+42071+200441+18505+6556+47633+47881+17200+52935+3027+1022+3044+985+51235+0+1949+80000+0+0</f>
        <v>2889765</v>
      </c>
      <c r="G65" s="21" t="s">
        <v>147</v>
      </c>
    </row>
    <row r="66" spans="1:7" ht="15" customHeight="1">
      <c r="A66" s="33" t="s">
        <v>148</v>
      </c>
      <c r="B66" s="33"/>
      <c r="C66" s="33"/>
      <c r="D66" s="33"/>
      <c r="E66" s="33"/>
      <c r="F66" s="33"/>
      <c r="G66" s="33"/>
    </row>
    <row r="67" spans="1:7" ht="15" customHeight="1">
      <c r="A67" s="26" t="s">
        <v>149</v>
      </c>
      <c r="B67" s="26"/>
      <c r="C67" s="26"/>
      <c r="D67" s="26"/>
      <c r="E67" s="26"/>
      <c r="F67" s="26"/>
      <c r="G67" s="26"/>
    </row>
  </sheetData>
  <sheetProtection/>
  <mergeCells count="6">
    <mergeCell ref="A67:G67"/>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76</v>
      </c>
      <c r="B1" s="10"/>
      <c r="C1" s="10"/>
      <c r="D1" s="10"/>
      <c r="E1" s="10"/>
      <c r="F1" s="10"/>
      <c r="G1" s="12" t="s">
        <v>77</v>
      </c>
    </row>
    <row r="2" spans="1:7" ht="12.75">
      <c r="A2" s="13" t="s">
        <v>150</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210929</v>
      </c>
      <c r="C6" s="17">
        <v>6745</v>
      </c>
      <c r="D6" s="17">
        <v>219439</v>
      </c>
      <c r="E6" s="17">
        <v>226184</v>
      </c>
      <c r="F6" s="17">
        <v>235283</v>
      </c>
      <c r="G6" s="18">
        <f>IF(AND(F65&lt;&gt;0,235283&lt;&gt;0),IF(100*235283/(F65-0)&lt;0.005,"*",100*235283/(F65-0)),0)</f>
        <v>1.8053799452223647</v>
      </c>
    </row>
    <row r="7" spans="1:7" ht="12.75">
      <c r="A7" s="11" t="s">
        <v>89</v>
      </c>
      <c r="B7" s="17">
        <v>34481</v>
      </c>
      <c r="C7" s="17">
        <v>1103</v>
      </c>
      <c r="D7" s="17">
        <v>35872</v>
      </c>
      <c r="E7" s="17">
        <v>36975</v>
      </c>
      <c r="F7" s="17">
        <v>38462</v>
      </c>
      <c r="G7" s="18">
        <f>IF(AND(F65&lt;&gt;0,38462&lt;&gt;0),IF(100*38462/(F65-0)&lt;0.005,"*",100*38462/(F65-0)),0)</f>
        <v>0.29512766945823793</v>
      </c>
    </row>
    <row r="8" spans="1:7" ht="12.75">
      <c r="A8" s="11" t="s">
        <v>90</v>
      </c>
      <c r="B8" s="17">
        <v>270118</v>
      </c>
      <c r="C8" s="17">
        <v>8638</v>
      </c>
      <c r="D8" s="17">
        <v>281016</v>
      </c>
      <c r="E8" s="17">
        <v>289654</v>
      </c>
      <c r="F8" s="17">
        <v>301306</v>
      </c>
      <c r="G8" s="18">
        <f>IF(AND(F65&lt;&gt;0,301306&lt;&gt;0),IF(100*301306/(F65-0)&lt;0.005,"*",100*301306/(F65-0)),0)</f>
        <v>2.3119894330451833</v>
      </c>
    </row>
    <row r="9" spans="1:7" ht="12.75">
      <c r="A9" s="11" t="s">
        <v>91</v>
      </c>
      <c r="B9" s="17">
        <v>127102</v>
      </c>
      <c r="C9" s="17">
        <v>4065</v>
      </c>
      <c r="D9" s="17">
        <v>132230</v>
      </c>
      <c r="E9" s="17">
        <v>136295</v>
      </c>
      <c r="F9" s="17">
        <v>141777</v>
      </c>
      <c r="G9" s="18">
        <f>IF(AND(F65&lt;&gt;0,141777&lt;&gt;0),IF(100*141777/(F65-0)&lt;0.005,"*",100*141777/(F65-0)),0)</f>
        <v>1.0878871507664865</v>
      </c>
    </row>
    <row r="10" spans="1:7" ht="12.75">
      <c r="A10" s="11" t="s">
        <v>92</v>
      </c>
      <c r="B10" s="17">
        <v>1443688</v>
      </c>
      <c r="C10" s="17">
        <v>46168</v>
      </c>
      <c r="D10" s="17">
        <v>1501935</v>
      </c>
      <c r="E10" s="17">
        <v>1548103</v>
      </c>
      <c r="F10" s="17">
        <v>1610378</v>
      </c>
      <c r="G10" s="18">
        <f>IF(AND(F65&lt;&gt;0,1610378&lt;&gt;0),IF(100*1610378/(F65-0)&lt;0.005,"*",100*1610378/(F65-0)),0)</f>
        <v>12.356796476699555</v>
      </c>
    </row>
    <row r="11" spans="1:7" ht="12.75">
      <c r="A11" s="11" t="s">
        <v>93</v>
      </c>
      <c r="B11" s="17">
        <v>130102</v>
      </c>
      <c r="C11" s="17">
        <v>4161</v>
      </c>
      <c r="D11" s="17">
        <v>135351</v>
      </c>
      <c r="E11" s="17">
        <v>139512</v>
      </c>
      <c r="F11" s="17">
        <v>145124</v>
      </c>
      <c r="G11" s="18">
        <f>IF(AND(F65&lt;&gt;0,145124&lt;&gt;0),IF(100*145124/(F65-0)&lt;0.005,"*",100*145124/(F65-0)),0)</f>
        <v>1.1135694426305787</v>
      </c>
    </row>
    <row r="12" spans="1:7" ht="12.75">
      <c r="A12" s="11" t="s">
        <v>94</v>
      </c>
      <c r="B12" s="17">
        <v>96143</v>
      </c>
      <c r="C12" s="17">
        <v>3075</v>
      </c>
      <c r="D12" s="17">
        <v>100022</v>
      </c>
      <c r="E12" s="17">
        <v>103097</v>
      </c>
      <c r="F12" s="17">
        <v>107244</v>
      </c>
      <c r="G12" s="18">
        <f>IF(AND(F65&lt;&gt;0,107244&lt;&gt;0),IF(100*107244/(F65-0)&lt;0.005,"*",100*107244/(F65-0)),0)</f>
        <v>0.8229075914767633</v>
      </c>
    </row>
    <row r="13" spans="1:7" ht="12.75">
      <c r="A13" s="11" t="s">
        <v>95</v>
      </c>
      <c r="B13" s="17">
        <v>33583</v>
      </c>
      <c r="C13" s="17">
        <v>1074</v>
      </c>
      <c r="D13" s="17">
        <v>34938</v>
      </c>
      <c r="E13" s="17">
        <v>36012</v>
      </c>
      <c r="F13" s="17">
        <v>37461</v>
      </c>
      <c r="G13" s="18">
        <f>IF(AND(F65&lt;&gt;0,37461&lt;&gt;0),IF(100*37461/(F65-0)&lt;0.005,"*",100*37461/(F65-0)),0)</f>
        <v>0.2874467689037245</v>
      </c>
    </row>
    <row r="14" spans="1:7" ht="12.75">
      <c r="A14" s="11" t="s">
        <v>96</v>
      </c>
      <c r="B14" s="17">
        <v>26065</v>
      </c>
      <c r="C14" s="17">
        <v>834</v>
      </c>
      <c r="D14" s="17">
        <v>27117</v>
      </c>
      <c r="E14" s="17">
        <v>27951</v>
      </c>
      <c r="F14" s="17">
        <v>29075</v>
      </c>
      <c r="G14" s="18">
        <f>IF(AND(F65&lt;&gt;0,29075&lt;&gt;0),IF(100*29075/(F65-0)&lt;0.005,"*",100*29075/(F65-0)),0)</f>
        <v>0.2230990845379405</v>
      </c>
    </row>
    <row r="15" spans="1:7" ht="12.75">
      <c r="A15" s="11" t="s">
        <v>97</v>
      </c>
      <c r="B15" s="17">
        <v>741321</v>
      </c>
      <c r="C15" s="17">
        <v>23707</v>
      </c>
      <c r="D15" s="17">
        <v>771230</v>
      </c>
      <c r="E15" s="17">
        <v>794937</v>
      </c>
      <c r="F15" s="17">
        <v>826915</v>
      </c>
      <c r="G15" s="18">
        <f>IF(AND(F65&lt;&gt;0,826915&lt;&gt;0),IF(100*826915/(F65-0)&lt;0.005,"*",100*826915/(F65-0)),0)</f>
        <v>6.345106775260226</v>
      </c>
    </row>
    <row r="16" spans="1:7" ht="12.75">
      <c r="A16" s="11" t="s">
        <v>98</v>
      </c>
      <c r="B16" s="17">
        <v>505028</v>
      </c>
      <c r="C16" s="17">
        <v>16150</v>
      </c>
      <c r="D16" s="17">
        <v>525404</v>
      </c>
      <c r="E16" s="17">
        <v>541554</v>
      </c>
      <c r="F16" s="17">
        <v>563339</v>
      </c>
      <c r="G16" s="18">
        <f>IF(AND(F65&lt;&gt;0,563339&lt;&gt;0),IF(100*563339/(F65-0)&lt;0.005,"*",100*563339/(F65-0)),0)</f>
        <v>4.32262820926978</v>
      </c>
    </row>
    <row r="17" spans="1:7" ht="12.75">
      <c r="A17" s="11" t="s">
        <v>99</v>
      </c>
      <c r="B17" s="17">
        <v>45311</v>
      </c>
      <c r="C17" s="17">
        <v>1449</v>
      </c>
      <c r="D17" s="17">
        <v>47139</v>
      </c>
      <c r="E17" s="17">
        <v>48588</v>
      </c>
      <c r="F17" s="17">
        <v>50543</v>
      </c>
      <c r="G17" s="18">
        <f>IF(AND(F65&lt;&gt;0,50543&lt;&gt;0),IF(100*50543/(F65-0)&lt;0.005,"*",100*50543/(F65-0)),0)</f>
        <v>0.3878279287979751</v>
      </c>
    </row>
    <row r="18" spans="1:7" ht="12.75">
      <c r="A18" s="11" t="s">
        <v>100</v>
      </c>
      <c r="B18" s="17">
        <v>52360</v>
      </c>
      <c r="C18" s="17">
        <v>1674</v>
      </c>
      <c r="D18" s="17">
        <v>54473</v>
      </c>
      <c r="E18" s="17">
        <v>56147</v>
      </c>
      <c r="F18" s="17">
        <v>58406</v>
      </c>
      <c r="G18" s="18">
        <f>IF(AND(F65&lt;&gt;0,58406&lt;&gt;0),IF(100*58406/(F65-0)&lt;0.005,"*",100*58406/(F65-0)),0)</f>
        <v>0.4481625152716407</v>
      </c>
    </row>
    <row r="19" spans="1:7" ht="12.75">
      <c r="A19" s="11" t="s">
        <v>101</v>
      </c>
      <c r="B19" s="17">
        <v>458052</v>
      </c>
      <c r="C19" s="17">
        <v>14648</v>
      </c>
      <c r="D19" s="17">
        <v>476532</v>
      </c>
      <c r="E19" s="17">
        <v>491180</v>
      </c>
      <c r="F19" s="17">
        <v>510939</v>
      </c>
      <c r="G19" s="18">
        <f>IF(AND(F65&lt;&gt;0,510939&lt;&gt;0),IF(100*510939/(F65-0)&lt;0.005,"*",100*510939/(F65-0)),0)</f>
        <v>3.9205510973252204</v>
      </c>
    </row>
    <row r="20" spans="1:7" ht="12.75">
      <c r="A20" s="11" t="s">
        <v>102</v>
      </c>
      <c r="B20" s="17">
        <v>255163</v>
      </c>
      <c r="C20" s="17">
        <v>8160</v>
      </c>
      <c r="D20" s="17">
        <v>265458</v>
      </c>
      <c r="E20" s="17">
        <v>273618</v>
      </c>
      <c r="F20" s="17">
        <v>284625</v>
      </c>
      <c r="G20" s="18">
        <f>IF(AND(F65&lt;&gt;0,284625&lt;&gt;0),IF(100*284625/(F65-0)&lt;0.005,"*",100*284625/(F65-0)),0)</f>
        <v>2.183992328000389</v>
      </c>
    </row>
    <row r="21" spans="1:7" ht="12.75">
      <c r="A21" s="11" t="s">
        <v>103</v>
      </c>
      <c r="B21" s="17">
        <v>104527</v>
      </c>
      <c r="C21" s="17">
        <v>3343</v>
      </c>
      <c r="D21" s="17">
        <v>108744</v>
      </c>
      <c r="E21" s="17">
        <v>112087</v>
      </c>
      <c r="F21" s="17">
        <v>116596</v>
      </c>
      <c r="G21" s="18">
        <f>IF(AND(F65&lt;&gt;0,116596&lt;&gt;0),IF(100*116596/(F65-0)&lt;0.005,"*",100*116596/(F65-0)),0)</f>
        <v>0.8946676134406092</v>
      </c>
    </row>
    <row r="22" spans="1:7" ht="12.75">
      <c r="A22" s="11" t="s">
        <v>104</v>
      </c>
      <c r="B22" s="17">
        <v>105485</v>
      </c>
      <c r="C22" s="17">
        <v>3373</v>
      </c>
      <c r="D22" s="17">
        <v>109741</v>
      </c>
      <c r="E22" s="17">
        <v>113114</v>
      </c>
      <c r="F22" s="17">
        <v>117664</v>
      </c>
      <c r="G22" s="18">
        <f>IF(AND(F65&lt;&gt;0,117664&lt;&gt;0),IF(100*117664/(F65-0)&lt;0.005,"*",100*117664/(F65-0)),0)</f>
        <v>0.902862620226044</v>
      </c>
    </row>
    <row r="23" spans="1:7" ht="12.75">
      <c r="A23" s="11" t="s">
        <v>105</v>
      </c>
      <c r="B23" s="17">
        <v>203687</v>
      </c>
      <c r="C23" s="17">
        <v>6514</v>
      </c>
      <c r="D23" s="17">
        <v>211905</v>
      </c>
      <c r="E23" s="17">
        <v>218419</v>
      </c>
      <c r="F23" s="17">
        <v>227205</v>
      </c>
      <c r="G23" s="18">
        <f>IF(AND(F65&lt;&gt;0,227205&lt;&gt;0),IF(100*227205/(F65-0)&lt;0.005,"*",100*227205/(F65-0)),0)</f>
        <v>1.7433956148733543</v>
      </c>
    </row>
    <row r="24" spans="1:7" ht="12.75">
      <c r="A24" s="11" t="s">
        <v>106</v>
      </c>
      <c r="B24" s="17">
        <v>215882</v>
      </c>
      <c r="C24" s="17">
        <v>6904</v>
      </c>
      <c r="D24" s="17">
        <v>224592</v>
      </c>
      <c r="E24" s="17">
        <v>231496</v>
      </c>
      <c r="F24" s="17">
        <v>240808</v>
      </c>
      <c r="G24" s="18">
        <f>IF(AND(F65&lt;&gt;0,240808&lt;&gt;0),IF(100*240808/(F65-0)&lt;0.005,"*",100*240808/(F65-0)),0)</f>
        <v>1.8477745262050689</v>
      </c>
    </row>
    <row r="25" spans="1:7" ht="12.75">
      <c r="A25" s="11" t="s">
        <v>107</v>
      </c>
      <c r="B25" s="17">
        <v>32864</v>
      </c>
      <c r="C25" s="17">
        <v>1051</v>
      </c>
      <c r="D25" s="17">
        <v>34190</v>
      </c>
      <c r="E25" s="17">
        <v>35241</v>
      </c>
      <c r="F25" s="17">
        <v>36659</v>
      </c>
      <c r="G25" s="18">
        <f>IF(AND(F65&lt;&gt;0,36659&lt;&gt;0),IF(100*36659/(F65-0)&lt;0.005,"*",100*36659/(F65-0)),0)</f>
        <v>0.28129284058732107</v>
      </c>
    </row>
    <row r="26" spans="1:7" ht="12.75">
      <c r="A26" s="11" t="s">
        <v>108</v>
      </c>
      <c r="B26" s="17">
        <v>160437</v>
      </c>
      <c r="C26" s="17">
        <v>5131</v>
      </c>
      <c r="D26" s="17">
        <v>166910</v>
      </c>
      <c r="E26" s="17">
        <v>172041</v>
      </c>
      <c r="F26" s="17">
        <v>178961</v>
      </c>
      <c r="G26" s="18">
        <f>IF(AND(F65&lt;&gt;0,178961&lt;&gt;0),IF(100*178961/(F65-0)&lt;0.005,"*",100*178961/(F65-0)),0)</f>
        <v>1.3732084357005803</v>
      </c>
    </row>
    <row r="27" spans="1:7" ht="12.75">
      <c r="A27" s="11" t="s">
        <v>109</v>
      </c>
      <c r="B27" s="17">
        <v>177096</v>
      </c>
      <c r="C27" s="17">
        <v>5663</v>
      </c>
      <c r="D27" s="17">
        <v>184241</v>
      </c>
      <c r="E27" s="17">
        <v>189904</v>
      </c>
      <c r="F27" s="17">
        <v>197544</v>
      </c>
      <c r="G27" s="18">
        <f>IF(AND(F65&lt;&gt;0,197544&lt;&gt;0),IF(100*197544/(F65-0)&lt;0.005,"*",100*197544/(F65-0)),0)</f>
        <v>1.5158000191216825</v>
      </c>
    </row>
    <row r="28" spans="1:7" ht="12.75">
      <c r="A28" s="11" t="s">
        <v>110</v>
      </c>
      <c r="B28" s="17">
        <v>289710</v>
      </c>
      <c r="C28" s="17">
        <v>9265</v>
      </c>
      <c r="D28" s="17">
        <v>301399</v>
      </c>
      <c r="E28" s="17">
        <v>310664</v>
      </c>
      <c r="F28" s="17">
        <v>323160</v>
      </c>
      <c r="G28" s="18">
        <f>IF(AND(F65&lt;&gt;0,323160&lt;&gt;0),IF(100*323160/(F65-0)&lt;0.005,"*",100*323160/(F65-0)),0)</f>
        <v>2.479680143053512</v>
      </c>
    </row>
    <row r="29" spans="1:7" ht="12.75">
      <c r="A29" s="11" t="s">
        <v>111</v>
      </c>
      <c r="B29" s="17">
        <v>159393</v>
      </c>
      <c r="C29" s="17">
        <v>5097</v>
      </c>
      <c r="D29" s="17">
        <v>165824</v>
      </c>
      <c r="E29" s="17">
        <v>170921</v>
      </c>
      <c r="F29" s="17">
        <v>177797</v>
      </c>
      <c r="G29" s="18">
        <f>IF(AND(F65&lt;&gt;0,177797&lt;&gt;0),IF(100*177797/(F65-0)&lt;0.005,"*",100*177797/(F65-0)),0)</f>
        <v>1.3642767990917355</v>
      </c>
    </row>
    <row r="30" spans="1:7" ht="12.75">
      <c r="A30" s="11" t="s">
        <v>112</v>
      </c>
      <c r="B30" s="17">
        <v>169248</v>
      </c>
      <c r="C30" s="17">
        <v>5412</v>
      </c>
      <c r="D30" s="17">
        <v>176076</v>
      </c>
      <c r="E30" s="17">
        <v>181488</v>
      </c>
      <c r="F30" s="17">
        <v>188790</v>
      </c>
      <c r="G30" s="18">
        <f>IF(AND(F65&lt;&gt;0,188790&lt;&gt;0),IF(100*188790/(F65-0)&lt;0.005,"*",100*188790/(F65-0)),0)</f>
        <v>1.448628587099494</v>
      </c>
    </row>
    <row r="31" spans="1:7" ht="12.75">
      <c r="A31" s="11" t="s">
        <v>113</v>
      </c>
      <c r="B31" s="17">
        <v>205892</v>
      </c>
      <c r="C31" s="17">
        <v>6584</v>
      </c>
      <c r="D31" s="17">
        <v>214199</v>
      </c>
      <c r="E31" s="17">
        <v>220783</v>
      </c>
      <c r="F31" s="17">
        <v>229665</v>
      </c>
      <c r="G31" s="18">
        <f>IF(AND(F65&lt;&gt;0,229665&lt;&gt;0),IF(100*229665/(F65-0)&lt;0.005,"*",100*229665/(F65-0)),0)</f>
        <v>1.7622717540982324</v>
      </c>
    </row>
    <row r="32" spans="1:7" ht="12.75">
      <c r="A32" s="11" t="s">
        <v>114</v>
      </c>
      <c r="B32" s="17">
        <v>26531</v>
      </c>
      <c r="C32" s="17">
        <v>848</v>
      </c>
      <c r="D32" s="17">
        <v>27601</v>
      </c>
      <c r="E32" s="17">
        <v>28449</v>
      </c>
      <c r="F32" s="17">
        <v>29594</v>
      </c>
      <c r="G32" s="18">
        <f>IF(AND(F65&lt;&gt;0,29594&lt;&gt;0),IF(100*29594/(F65-0)&lt;0.005,"*",100*29594/(F65-0)),0)</f>
        <v>0.22708148952075016</v>
      </c>
    </row>
    <row r="33" spans="1:7" ht="12.75">
      <c r="A33" s="11" t="s">
        <v>115</v>
      </c>
      <c r="B33" s="17">
        <v>67464</v>
      </c>
      <c r="C33" s="17">
        <v>2157</v>
      </c>
      <c r="D33" s="17">
        <v>70186</v>
      </c>
      <c r="E33" s="17">
        <v>72343</v>
      </c>
      <c r="F33" s="17">
        <v>75254</v>
      </c>
      <c r="G33" s="18">
        <f>IF(AND(F65&lt;&gt;0,75254&lt;&gt;0),IF(100*75254/(F65-0)&lt;0.005,"*",100*75254/(F65-0)),0)</f>
        <v>0.5774410492800748</v>
      </c>
    </row>
    <row r="34" spans="1:7" ht="12.75">
      <c r="A34" s="11" t="s">
        <v>116</v>
      </c>
      <c r="B34" s="17">
        <v>95351</v>
      </c>
      <c r="C34" s="17">
        <v>3049</v>
      </c>
      <c r="D34" s="17">
        <v>99198</v>
      </c>
      <c r="E34" s="17">
        <v>102247</v>
      </c>
      <c r="F34" s="17">
        <v>106360</v>
      </c>
      <c r="G34" s="18">
        <f>IF(AND(F65&lt;&gt;0,106360&lt;&gt;0),IF(100*106360/(F65-0)&lt;0.005,"*",100*106360/(F65-0)),0)</f>
        <v>0.8161244585195306</v>
      </c>
    </row>
    <row r="35" spans="1:7" ht="12.75">
      <c r="A35" s="11" t="s">
        <v>117</v>
      </c>
      <c r="B35" s="17">
        <v>22652</v>
      </c>
      <c r="C35" s="17">
        <v>724</v>
      </c>
      <c r="D35" s="17">
        <v>23566</v>
      </c>
      <c r="E35" s="17">
        <v>24290</v>
      </c>
      <c r="F35" s="17">
        <v>25267</v>
      </c>
      <c r="G35" s="18">
        <f>IF(AND(F65&lt;&gt;0,25267&lt;&gt;0),IF(100*25267/(F65-0)&lt;0.005,"*",100*25267/(F65-0)),0)</f>
        <v>0.19387943487601522</v>
      </c>
    </row>
    <row r="36" spans="1:7" ht="12.75">
      <c r="A36" s="11" t="s">
        <v>118</v>
      </c>
      <c r="B36" s="17">
        <v>246156</v>
      </c>
      <c r="C36" s="17">
        <v>7872</v>
      </c>
      <c r="D36" s="17">
        <v>256087</v>
      </c>
      <c r="E36" s="17">
        <v>263959</v>
      </c>
      <c r="F36" s="17">
        <v>274578</v>
      </c>
      <c r="G36" s="18">
        <f>IF(AND(F65&lt;&gt;0,274578&lt;&gt;0),IF(100*274578/(F65-0)&lt;0.005,"*",100*274578/(F65-0)),0)</f>
        <v>2.106899413044149</v>
      </c>
    </row>
    <row r="37" spans="1:7" ht="12.75">
      <c r="A37" s="11" t="s">
        <v>119</v>
      </c>
      <c r="B37" s="17">
        <v>95248</v>
      </c>
      <c r="C37" s="17">
        <v>3046</v>
      </c>
      <c r="D37" s="17">
        <v>99091</v>
      </c>
      <c r="E37" s="17">
        <v>102137</v>
      </c>
      <c r="F37" s="17">
        <v>106245</v>
      </c>
      <c r="G37" s="18">
        <f>IF(AND(F65&lt;&gt;0,106245&lt;&gt;0),IF(100*106245/(F65-0)&lt;0.005,"*",100*106245/(F65-0)),0)</f>
        <v>0.8152420373769041</v>
      </c>
    </row>
    <row r="38" spans="1:7" ht="12.75">
      <c r="A38" s="11" t="s">
        <v>120</v>
      </c>
      <c r="B38" s="17">
        <v>684495</v>
      </c>
      <c r="C38" s="17">
        <v>21890</v>
      </c>
      <c r="D38" s="17">
        <v>712111</v>
      </c>
      <c r="E38" s="17">
        <v>734001</v>
      </c>
      <c r="F38" s="17">
        <v>763528</v>
      </c>
      <c r="G38" s="18">
        <f>IF(AND(F65&lt;&gt;0,763528&lt;&gt;0),IF(100*763528/(F65-0)&lt;0.005,"*",100*763528/(F65-0)),0)</f>
        <v>5.85872391467187</v>
      </c>
    </row>
    <row r="39" spans="1:7" ht="12.75">
      <c r="A39" s="11" t="s">
        <v>121</v>
      </c>
      <c r="B39" s="17">
        <v>375406</v>
      </c>
      <c r="C39" s="17">
        <v>12005</v>
      </c>
      <c r="D39" s="17">
        <v>390552</v>
      </c>
      <c r="E39" s="17">
        <v>402557</v>
      </c>
      <c r="F39" s="17">
        <v>418751</v>
      </c>
      <c r="G39" s="18">
        <f>IF(AND(F65&lt;&gt;0,418751&lt;&gt;0),IF(100*418751/(F65-0)&lt;0.005,"*",100*418751/(F65-0)),0)</f>
        <v>3.2131716164865733</v>
      </c>
    </row>
    <row r="40" spans="1:7" ht="12.75">
      <c r="A40" s="11" t="s">
        <v>122</v>
      </c>
      <c r="B40" s="17">
        <v>19156</v>
      </c>
      <c r="C40" s="17">
        <v>613</v>
      </c>
      <c r="D40" s="17">
        <v>19929</v>
      </c>
      <c r="E40" s="17">
        <v>20542</v>
      </c>
      <c r="F40" s="17">
        <v>21368</v>
      </c>
      <c r="G40" s="18">
        <f>IF(AND(F65&lt;&gt;0,21368&lt;&gt;0),IF(100*21368/(F65-0)&lt;0.005,"*",100*21368/(F65-0)),0)</f>
        <v>0.163961521527316</v>
      </c>
    </row>
    <row r="41" spans="1:7" ht="12.75">
      <c r="A41" s="11" t="s">
        <v>123</v>
      </c>
      <c r="B41" s="17">
        <v>353059</v>
      </c>
      <c r="C41" s="17">
        <v>11291</v>
      </c>
      <c r="D41" s="17">
        <v>367303</v>
      </c>
      <c r="E41" s="17">
        <v>378594</v>
      </c>
      <c r="F41" s="17">
        <v>393824</v>
      </c>
      <c r="G41" s="18">
        <f>IF(AND(F65&lt;&gt;0,393824&lt;&gt;0),IF(100*393824/(F65-0)&lt;0.005,"*",100*393824/(F65-0)),0)</f>
        <v>3.0219010789018017</v>
      </c>
    </row>
    <row r="42" spans="1:7" ht="12.75">
      <c r="A42" s="11" t="s">
        <v>124</v>
      </c>
      <c r="B42" s="17">
        <v>159119</v>
      </c>
      <c r="C42" s="17">
        <v>5089</v>
      </c>
      <c r="D42" s="17">
        <v>165539</v>
      </c>
      <c r="E42" s="17">
        <v>170628</v>
      </c>
      <c r="F42" s="17">
        <v>177491</v>
      </c>
      <c r="G42" s="18">
        <f>IF(AND(F65&lt;&gt;0,177491&lt;&gt;0),IF(100*177491/(F65-0)&lt;0.005,"*",100*177491/(F65-0)),0)</f>
        <v>1.3619287915296163</v>
      </c>
    </row>
    <row r="43" spans="1:7" ht="12.75">
      <c r="A43" s="11" t="s">
        <v>125</v>
      </c>
      <c r="B43" s="17">
        <v>109706</v>
      </c>
      <c r="C43" s="17">
        <v>3508</v>
      </c>
      <c r="D43" s="17">
        <v>114132</v>
      </c>
      <c r="E43" s="17">
        <v>117640</v>
      </c>
      <c r="F43" s="17">
        <v>122373</v>
      </c>
      <c r="G43" s="18">
        <f>IF(AND(F65&lt;&gt;0,122373&lt;&gt;0),IF(100*122373/(F65-0)&lt;0.005,"*",100*122373/(F65-0)),0)</f>
        <v>0.9389958477097642</v>
      </c>
    </row>
    <row r="44" spans="1:7" ht="12.75">
      <c r="A44" s="11" t="s">
        <v>126</v>
      </c>
      <c r="B44" s="17">
        <v>348175</v>
      </c>
      <c r="C44" s="17">
        <v>11134</v>
      </c>
      <c r="D44" s="17">
        <v>362222</v>
      </c>
      <c r="E44" s="17">
        <v>373356</v>
      </c>
      <c r="F44" s="17">
        <v>388376</v>
      </c>
      <c r="G44" s="18">
        <f>IF(AND(F65&lt;&gt;0,388376&lt;&gt;0),IF(100*388376/(F65-0)&lt;0.005,"*",100*388376/(F65-0)),0)</f>
        <v>2.9800973364232908</v>
      </c>
    </row>
    <row r="45" spans="1:7" ht="12.75">
      <c r="A45" s="11" t="s">
        <v>127</v>
      </c>
      <c r="B45" s="17">
        <v>29351</v>
      </c>
      <c r="C45" s="17">
        <v>939</v>
      </c>
      <c r="D45" s="17">
        <v>30535</v>
      </c>
      <c r="E45" s="17">
        <v>31474</v>
      </c>
      <c r="F45" s="17">
        <v>32740</v>
      </c>
      <c r="G45" s="18">
        <f>IF(AND(F65&lt;&gt;0,32740&lt;&gt;0),IF(100*32740/(F65-0)&lt;0.005,"*",100*32740/(F65-0)),0)</f>
        <v>0.2512214626920781</v>
      </c>
    </row>
    <row r="46" spans="1:7" ht="12.75">
      <c r="A46" s="11" t="s">
        <v>128</v>
      </c>
      <c r="B46" s="17">
        <v>200502</v>
      </c>
      <c r="C46" s="17">
        <v>6412</v>
      </c>
      <c r="D46" s="17">
        <v>208591</v>
      </c>
      <c r="E46" s="17">
        <v>215003</v>
      </c>
      <c r="F46" s="17">
        <v>223652</v>
      </c>
      <c r="G46" s="18">
        <f>IF(AND(F65&lt;&gt;0,223652&lt;&gt;0),IF(100*223652/(F65-0)&lt;0.005,"*",100*223652/(F65-0)),0)</f>
        <v>1.7161326381798614</v>
      </c>
    </row>
    <row r="47" spans="1:7" ht="12.75">
      <c r="A47" s="11" t="s">
        <v>129</v>
      </c>
      <c r="B47" s="17">
        <v>28333</v>
      </c>
      <c r="C47" s="17">
        <v>906</v>
      </c>
      <c r="D47" s="17">
        <v>29476</v>
      </c>
      <c r="E47" s="17">
        <v>30382</v>
      </c>
      <c r="F47" s="17">
        <v>31604</v>
      </c>
      <c r="G47" s="18">
        <f>IF(AND(F65&lt;&gt;0,31604&lt;&gt;0),IF(100*31604/(F65-0)&lt;0.005,"*",100*31604/(F65-0)),0)</f>
        <v>0.24250467644839455</v>
      </c>
    </row>
    <row r="48" spans="1:7" ht="12.75">
      <c r="A48" s="11" t="s">
        <v>130</v>
      </c>
      <c r="B48" s="17">
        <v>264454</v>
      </c>
      <c r="C48" s="17">
        <v>8457</v>
      </c>
      <c r="D48" s="17">
        <v>275124</v>
      </c>
      <c r="E48" s="17">
        <v>283581</v>
      </c>
      <c r="F48" s="17">
        <v>294988</v>
      </c>
      <c r="G48" s="18">
        <f>IF(AND(F65&lt;&gt;0,294988&lt;&gt;0),IF(100*294988/(F65-0)&lt;0.005,"*",100*294988/(F65-0)),0)</f>
        <v>2.26350998279202</v>
      </c>
    </row>
    <row r="49" spans="1:7" ht="12.75">
      <c r="A49" s="11" t="s">
        <v>131</v>
      </c>
      <c r="B49" s="17">
        <v>1394733</v>
      </c>
      <c r="C49" s="17">
        <v>44603</v>
      </c>
      <c r="D49" s="17">
        <v>1451005</v>
      </c>
      <c r="E49" s="17">
        <v>1495608</v>
      </c>
      <c r="F49" s="17">
        <v>1555771</v>
      </c>
      <c r="G49" s="18">
        <f>IF(AND(F65&lt;&gt;0,1555771&lt;&gt;0),IF(100*1555771/(F65-0)&lt;0.005,"*",100*1555771/(F65-0)),0)</f>
        <v>11.937784552043894</v>
      </c>
    </row>
    <row r="50" spans="1:7" ht="12.75">
      <c r="A50" s="11" t="s">
        <v>132</v>
      </c>
      <c r="B50" s="17">
        <v>97495</v>
      </c>
      <c r="C50" s="17">
        <v>3118</v>
      </c>
      <c r="D50" s="17">
        <v>101429</v>
      </c>
      <c r="E50" s="17">
        <v>104547</v>
      </c>
      <c r="F50" s="17">
        <v>108752</v>
      </c>
      <c r="G50" s="18">
        <f>IF(AND(F65&lt;&gt;0,108752&lt;&gt;0),IF(100*108752/(F65-0)&lt;0.005,"*",100*108752/(F65-0)),0)</f>
        <v>0.8344788182861601</v>
      </c>
    </row>
    <row r="51" spans="1:7" ht="12.75">
      <c r="A51" s="11" t="s">
        <v>133</v>
      </c>
      <c r="B51" s="17">
        <v>15243</v>
      </c>
      <c r="C51" s="17">
        <v>487</v>
      </c>
      <c r="D51" s="17">
        <v>15858</v>
      </c>
      <c r="E51" s="17">
        <v>16345</v>
      </c>
      <c r="F51" s="17">
        <v>17003</v>
      </c>
      <c r="G51" s="18">
        <f>IF(AND(F65&lt;&gt;0,17003&lt;&gt;0),IF(100*17003/(F65-0)&lt;0.005,"*",100*17003/(F65-0)),0)</f>
        <v>0.13046788424414799</v>
      </c>
    </row>
    <row r="52" spans="1:7" ht="12.75">
      <c r="A52" s="11" t="s">
        <v>134</v>
      </c>
      <c r="B52" s="17">
        <v>224668</v>
      </c>
      <c r="C52" s="17">
        <v>7185</v>
      </c>
      <c r="D52" s="17">
        <v>233732</v>
      </c>
      <c r="E52" s="17">
        <v>240917</v>
      </c>
      <c r="F52" s="17">
        <v>250609</v>
      </c>
      <c r="G52" s="18">
        <f>IF(AND(F65&lt;&gt;0,250609&lt;&gt;0),IF(100*250609/(F65-0)&lt;0.005,"*",100*250609/(F65-0)),0)</f>
        <v>1.9229798272388214</v>
      </c>
    </row>
    <row r="53" spans="1:7" ht="12.75">
      <c r="A53" s="11" t="s">
        <v>135</v>
      </c>
      <c r="B53" s="17">
        <v>192912</v>
      </c>
      <c r="C53" s="17">
        <v>6169</v>
      </c>
      <c r="D53" s="17">
        <v>200695</v>
      </c>
      <c r="E53" s="17">
        <v>206864</v>
      </c>
      <c r="F53" s="17">
        <v>215186</v>
      </c>
      <c r="G53" s="18">
        <f>IF(AND(F65&lt;&gt;0,215186&lt;&gt;0),IF(100*215186/(F65-0)&lt;0.005,"*",100*215186/(F65-0)),0)</f>
        <v>1.6511710956279024</v>
      </c>
    </row>
    <row r="54" spans="1:7" ht="12.75">
      <c r="A54" s="11" t="s">
        <v>136</v>
      </c>
      <c r="B54" s="17">
        <v>71501</v>
      </c>
      <c r="C54" s="17">
        <v>2287</v>
      </c>
      <c r="D54" s="17">
        <v>74386</v>
      </c>
      <c r="E54" s="17">
        <v>76673</v>
      </c>
      <c r="F54" s="17">
        <v>79757</v>
      </c>
      <c r="G54" s="18">
        <f>IF(AND(F65&lt;&gt;0,79757&lt;&gt;0),IF(100*79757/(F65-0)&lt;0.005,"*",100*79757/(F65-0)),0)</f>
        <v>0.6119935919343945</v>
      </c>
    </row>
    <row r="55" spans="1:7" ht="12.75">
      <c r="A55" s="11" t="s">
        <v>137</v>
      </c>
      <c r="B55" s="17">
        <v>166513</v>
      </c>
      <c r="C55" s="17">
        <v>5325</v>
      </c>
      <c r="D55" s="17">
        <v>173231</v>
      </c>
      <c r="E55" s="17">
        <v>178556</v>
      </c>
      <c r="F55" s="17">
        <v>185739</v>
      </c>
      <c r="G55" s="18">
        <f>IF(AND(F65&lt;&gt;0,185739&lt;&gt;0),IF(100*185739/(F65-0)&lt;0.005,"*",100*185739/(F65-0)),0)</f>
        <v>1.4252175705242487</v>
      </c>
    </row>
    <row r="56" spans="1:7" ht="12.75">
      <c r="A56" s="11" t="s">
        <v>138</v>
      </c>
      <c r="B56" s="17">
        <v>14274</v>
      </c>
      <c r="C56" s="17">
        <v>456</v>
      </c>
      <c r="D56" s="17">
        <v>14850</v>
      </c>
      <c r="E56" s="17">
        <v>15306</v>
      </c>
      <c r="F56" s="17">
        <v>15922</v>
      </c>
      <c r="G56" s="18">
        <f>IF(AND(F65&lt;&gt;0,15922&lt;&gt;0),IF(100*15922/(F65-0)&lt;0.005,"*",100*15922/(F65-0)),0)</f>
        <v>0.12217312550345963</v>
      </c>
    </row>
    <row r="57" spans="1:7" ht="12.75">
      <c r="A57" s="11" t="s">
        <v>139</v>
      </c>
      <c r="B57" s="17">
        <v>0</v>
      </c>
      <c r="C57" s="17">
        <v>0</v>
      </c>
      <c r="D57" s="17">
        <v>0</v>
      </c>
      <c r="E57" s="17">
        <v>0</v>
      </c>
      <c r="F57" s="17">
        <v>0</v>
      </c>
      <c r="G57" s="18">
        <f>IF(AND(F65&lt;&gt;0,0&lt;&gt;0),IF(100*0/(F65-0)&lt;0.005,"*",100*0/(F65-0)),0)</f>
        <v>0</v>
      </c>
    </row>
    <row r="58" spans="1:7" ht="12.75">
      <c r="A58" s="11" t="s">
        <v>140</v>
      </c>
      <c r="B58" s="17">
        <v>7913</v>
      </c>
      <c r="C58" s="17">
        <v>253</v>
      </c>
      <c r="D58" s="17">
        <v>8232</v>
      </c>
      <c r="E58" s="17">
        <v>8485</v>
      </c>
      <c r="F58" s="17">
        <v>8827</v>
      </c>
      <c r="G58" s="18">
        <f>IF(AND(F65&lt;&gt;0,8827&lt;&gt;0),IF(100*8827/(F65-0)&lt;0.005,"*",100*8827/(F65-0)),0)</f>
        <v>0.06773157761707312</v>
      </c>
    </row>
    <row r="59" spans="1:7" ht="12.75">
      <c r="A59" s="11" t="s">
        <v>141</v>
      </c>
      <c r="B59" s="17">
        <v>0</v>
      </c>
      <c r="C59" s="17">
        <v>0</v>
      </c>
      <c r="D59" s="17">
        <v>0</v>
      </c>
      <c r="E59" s="17">
        <v>0</v>
      </c>
      <c r="F59" s="17">
        <v>0</v>
      </c>
      <c r="G59" s="18">
        <f>IF(AND(F65&lt;&gt;0,0&lt;&gt;0),IF(100*0/(F65-0)&lt;0.005,"*",100*0/(F65-0)),0)</f>
        <v>0</v>
      </c>
    </row>
    <row r="60" spans="1:7" ht="12.75">
      <c r="A60" s="11" t="s">
        <v>142</v>
      </c>
      <c r="B60" s="17">
        <v>114379</v>
      </c>
      <c r="C60" s="17">
        <v>3658</v>
      </c>
      <c r="D60" s="17">
        <v>118994</v>
      </c>
      <c r="E60" s="17">
        <v>122652</v>
      </c>
      <c r="F60" s="17">
        <v>127585</v>
      </c>
      <c r="G60" s="18">
        <f>IF(AND(F65&lt;&gt;0,127585&lt;&gt;0),IF(100*127585/(F65-0)&lt;0.005,"*",100*127585/(F65-0)),0)</f>
        <v>0.978988708539059</v>
      </c>
    </row>
    <row r="61" spans="1:7" ht="12.75">
      <c r="A61" s="11" t="s">
        <v>143</v>
      </c>
      <c r="B61" s="17">
        <v>0</v>
      </c>
      <c r="C61" s="17">
        <v>0</v>
      </c>
      <c r="D61" s="17">
        <v>0</v>
      </c>
      <c r="E61" s="17">
        <v>0</v>
      </c>
      <c r="F61" s="17">
        <v>0</v>
      </c>
      <c r="G61" s="18">
        <f>IF(AND(F65&lt;&gt;0,0&lt;&gt;0),IF(100*0/(F65-0)&lt;0.005,"*",100*0/(F65-0)),0)</f>
        <v>0</v>
      </c>
    </row>
    <row r="62" spans="1:7" ht="12.75">
      <c r="A62" s="11" t="s">
        <v>144</v>
      </c>
      <c r="B62" s="17">
        <v>4891</v>
      </c>
      <c r="C62" s="17">
        <v>156</v>
      </c>
      <c r="D62" s="17">
        <v>5088</v>
      </c>
      <c r="E62" s="17">
        <v>5244</v>
      </c>
      <c r="F62" s="17">
        <v>5456</v>
      </c>
      <c r="G62" s="18">
        <f>IF(AND(F65&lt;&gt;0,5456&lt;&gt;0),IF(100*5456/(F65-0)&lt;0.005,"*",100*5456/(F65-0)),0)</f>
        <v>0.04186512829712823</v>
      </c>
    </row>
    <row r="63" spans="1:7" ht="12.75">
      <c r="A63" s="11" t="s">
        <v>145</v>
      </c>
      <c r="B63" s="17">
        <v>0</v>
      </c>
      <c r="C63" s="17">
        <v>0</v>
      </c>
      <c r="D63" s="17">
        <v>0</v>
      </c>
      <c r="E63" s="17">
        <v>0</v>
      </c>
      <c r="F63" s="17">
        <v>0</v>
      </c>
      <c r="G63" s="18">
        <f>IF(AND(F65&lt;&gt;0,0&lt;&gt;0),IF(100*0/(F65-0)&lt;0.005,"*",100*0/(F65-0)),0)</f>
        <v>0</v>
      </c>
    </row>
    <row r="64" spans="1:7" ht="12.75">
      <c r="A64" s="11" t="s">
        <v>146</v>
      </c>
      <c r="B64" s="17">
        <v>245617</v>
      </c>
      <c r="C64" s="17">
        <v>0</v>
      </c>
      <c r="D64" s="17">
        <v>0</v>
      </c>
      <c r="E64" s="17">
        <v>0</v>
      </c>
      <c r="F64" s="17">
        <v>0</v>
      </c>
      <c r="G64" s="18">
        <v>0</v>
      </c>
    </row>
    <row r="65" spans="1:7" ht="15" customHeight="1">
      <c r="A65" s="19" t="s">
        <v>87</v>
      </c>
      <c r="B65" s="20">
        <f>210929+34481+270118+127102+1443688+130102+96143+33583+26065+741321+505028+45311+52360+458052+255163+104527+105485+203687+215882+32864+160437+177096+289710+159393+169248+205892+26531+67464+95351+22652+246156+95248+684495+375406+19156+353059+159119+109706+348175+29351+200502+28333+264454+1394733+97495+15243+224668+192912+71501+166513+14274+0+7913+0+114379+0+4891+0+245617+0</f>
        <v>11928964</v>
      </c>
      <c r="C65" s="20">
        <f>6745+1103+8638+4065+46168+4161+3075+1074+834+23707+16150+1449+1674+14648+8160+3343+3373+6514+6904+1051+5131+5663+9265+5097+5412+6584+848+2157+3049+724+7872+3046+21890+12005+613+11291+5089+3508+11134+939+6412+906+8457+44603+3118+487+7185+6169+2287+5325+456+0+253+0+3658+0+156+0+0+0</f>
        <v>373625</v>
      </c>
      <c r="D65" s="20">
        <f>219439+35872+281016+132230+1501935+135351+100022+34938+27117+771230+525404+47139+54473+476532+265458+108744+109741+211905+224592+34190+166910+184241+301399+165824+176076+214199+27601+70186+99198+23566+256087+99091+712111+390552+19929+367303+165539+114132+362222+30535+208591+29476+275124+1451005+101429+15858+233732+200695+74386+173231+14850+0+8232+0+118994+0+5088+0+0+0</f>
        <v>12154720</v>
      </c>
      <c r="E65" s="20">
        <f>SUM(C65:D65)</f>
        <v>12528345</v>
      </c>
      <c r="F65" s="20">
        <f>235283+38462+301306+141777+1610378+145124+107244+37461+29075+826915+563339+50543+58406+510939+284625+116596+117664+227205+240808+36659+178961+197544+323160+177797+188790+229665+29594+75254+106360+25267+274578+106245+763528+418751+21368+393824+177491+122373+388376+32740+223652+31604+294988+1555771+108752+17003+250609+215186+79757+185739+15922+0+8827+0+127585+0+5456+0+0+0</f>
        <v>13032326</v>
      </c>
      <c r="G65" s="21" t="s">
        <v>147</v>
      </c>
    </row>
    <row r="66" spans="1:7" ht="15" customHeight="1">
      <c r="A66" s="33" t="s">
        <v>148</v>
      </c>
      <c r="B66" s="33"/>
      <c r="C66" s="33"/>
      <c r="D66" s="33"/>
      <c r="E66" s="33"/>
      <c r="F66" s="33"/>
      <c r="G66" s="33"/>
    </row>
    <row r="67" spans="1:7" ht="15" customHeight="1">
      <c r="A67" s="26" t="s">
        <v>149</v>
      </c>
      <c r="B67" s="26"/>
      <c r="C67" s="26"/>
      <c r="D67" s="26"/>
      <c r="E67" s="26"/>
      <c r="F67" s="26"/>
      <c r="G67" s="26"/>
    </row>
  </sheetData>
  <sheetProtection/>
  <mergeCells count="6">
    <mergeCell ref="A67:G67"/>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350</v>
      </c>
      <c r="B1" s="10"/>
      <c r="C1" s="10"/>
      <c r="D1" s="10"/>
      <c r="E1" s="10"/>
      <c r="F1" s="10"/>
      <c r="G1" s="12" t="s">
        <v>351</v>
      </c>
    </row>
    <row r="2" spans="1:7" ht="12.75">
      <c r="A2" s="13" t="s">
        <v>353</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10115</v>
      </c>
      <c r="C6" s="17">
        <v>22762</v>
      </c>
      <c r="D6" s="17">
        <v>0</v>
      </c>
      <c r="E6" s="17">
        <v>22762</v>
      </c>
      <c r="F6" s="17">
        <v>21195</v>
      </c>
      <c r="G6" s="18">
        <f>IF(AND(F65&lt;&gt;521000,21195&lt;&gt;0),IF(100*21195/(F65-521000)&lt;0.005,"*",100*21195/(F65-521000)),0)</f>
        <v>0.7046699720825017</v>
      </c>
    </row>
    <row r="7" spans="1:7" ht="12.75">
      <c r="A7" s="11" t="s">
        <v>89</v>
      </c>
      <c r="B7" s="17">
        <v>0</v>
      </c>
      <c r="C7" s="17">
        <v>0</v>
      </c>
      <c r="D7" s="17">
        <v>0</v>
      </c>
      <c r="E7" s="17">
        <v>0</v>
      </c>
      <c r="F7" s="17">
        <v>0</v>
      </c>
      <c r="G7" s="18">
        <f>IF(AND(F65&lt;&gt;521000,0&lt;&gt;0),IF(100*0/(F65-521000)&lt;0.005,"*",100*0/(F65-521000)),0)</f>
        <v>0</v>
      </c>
    </row>
    <row r="8" spans="1:7" ht="12.75">
      <c r="A8" s="11" t="s">
        <v>90</v>
      </c>
      <c r="B8" s="17">
        <v>0</v>
      </c>
      <c r="C8" s="17">
        <v>0</v>
      </c>
      <c r="D8" s="17">
        <v>0</v>
      </c>
      <c r="E8" s="17">
        <v>0</v>
      </c>
      <c r="F8" s="17">
        <v>0</v>
      </c>
      <c r="G8" s="18">
        <f>IF(AND(F65&lt;&gt;521000,0&lt;&gt;0),IF(100*0/(F65-521000)&lt;0.005,"*",100*0/(F65-521000)),0)</f>
        <v>0</v>
      </c>
    </row>
    <row r="9" spans="1:7" ht="12.75">
      <c r="A9" s="11" t="s">
        <v>91</v>
      </c>
      <c r="B9" s="17">
        <v>0</v>
      </c>
      <c r="C9" s="17">
        <v>0</v>
      </c>
      <c r="D9" s="17">
        <v>0</v>
      </c>
      <c r="E9" s="17">
        <v>0</v>
      </c>
      <c r="F9" s="17">
        <v>0</v>
      </c>
      <c r="G9" s="18">
        <f>IF(AND(F65&lt;&gt;521000,0&lt;&gt;0),IF(100*0/(F65-521000)&lt;0.005,"*",100*0/(F65-521000)),0)</f>
        <v>0</v>
      </c>
    </row>
    <row r="10" spans="1:7" ht="12.75">
      <c r="A10" s="11" t="s">
        <v>92</v>
      </c>
      <c r="B10" s="17">
        <v>0</v>
      </c>
      <c r="C10" s="17">
        <v>0</v>
      </c>
      <c r="D10" s="17">
        <v>0</v>
      </c>
      <c r="E10" s="17">
        <v>0</v>
      </c>
      <c r="F10" s="17">
        <v>0</v>
      </c>
      <c r="G10" s="18">
        <f>IF(AND(F65&lt;&gt;521000,0&lt;&gt;0),IF(100*0/(F65-521000)&lt;0.005,"*",100*0/(F65-521000)),0)</f>
        <v>0</v>
      </c>
    </row>
    <row r="11" spans="1:7" ht="12.75">
      <c r="A11" s="11" t="s">
        <v>93</v>
      </c>
      <c r="B11" s="17">
        <v>42277</v>
      </c>
      <c r="C11" s="17">
        <v>134463</v>
      </c>
      <c r="D11" s="17">
        <v>0</v>
      </c>
      <c r="E11" s="17">
        <v>134463</v>
      </c>
      <c r="F11" s="17">
        <v>80806</v>
      </c>
      <c r="G11" s="18">
        <f>IF(AND(F65&lt;&gt;521000,80806&lt;&gt;0),IF(100*80806/(F65-521000)&lt;0.005,"*",100*80806/(F65-521000)),0)</f>
        <v>2.6865563465014692</v>
      </c>
    </row>
    <row r="12" spans="1:7" ht="12.75">
      <c r="A12" s="11" t="s">
        <v>94</v>
      </c>
      <c r="B12" s="17">
        <v>40000</v>
      </c>
      <c r="C12" s="17">
        <v>50000</v>
      </c>
      <c r="D12" s="17">
        <v>0</v>
      </c>
      <c r="E12" s="17">
        <v>50000</v>
      </c>
      <c r="F12" s="17">
        <v>39279</v>
      </c>
      <c r="G12" s="18">
        <f>IF(AND(F65&lt;&gt;521000,39279&lt;&gt;0),IF(100*39279/(F65-521000)&lt;0.005,"*",100*39279/(F65-521000)),0)</f>
        <v>1.3059085554814147</v>
      </c>
    </row>
    <row r="13" spans="1:7" ht="12.75">
      <c r="A13" s="11" t="s">
        <v>95</v>
      </c>
      <c r="B13" s="17">
        <v>0</v>
      </c>
      <c r="C13" s="17">
        <v>0</v>
      </c>
      <c r="D13" s="17">
        <v>0</v>
      </c>
      <c r="E13" s="17">
        <v>0</v>
      </c>
      <c r="F13" s="17">
        <v>0</v>
      </c>
      <c r="G13" s="18">
        <f>IF(AND(F65&lt;&gt;521000,0&lt;&gt;0),IF(100*0/(F65-521000)&lt;0.005,"*",100*0/(F65-521000)),0)</f>
        <v>0</v>
      </c>
    </row>
    <row r="14" spans="1:7" ht="12.75">
      <c r="A14" s="11" t="s">
        <v>96</v>
      </c>
      <c r="B14" s="17">
        <v>0</v>
      </c>
      <c r="C14" s="17">
        <v>0</v>
      </c>
      <c r="D14" s="17">
        <v>0</v>
      </c>
      <c r="E14" s="17">
        <v>0</v>
      </c>
      <c r="F14" s="17">
        <v>0</v>
      </c>
      <c r="G14" s="18">
        <f>IF(AND(F65&lt;&gt;521000,0&lt;&gt;0),IF(100*0/(F65-521000)&lt;0.005,"*",100*0/(F65-521000)),0)</f>
        <v>0</v>
      </c>
    </row>
    <row r="15" spans="1:7" ht="12.75">
      <c r="A15" s="11" t="s">
        <v>97</v>
      </c>
      <c r="B15" s="17">
        <v>0</v>
      </c>
      <c r="C15" s="17">
        <v>0</v>
      </c>
      <c r="D15" s="17">
        <v>0</v>
      </c>
      <c r="E15" s="17">
        <v>0</v>
      </c>
      <c r="F15" s="17">
        <v>0</v>
      </c>
      <c r="G15" s="18">
        <f>IF(AND(F65&lt;&gt;521000,0&lt;&gt;0),IF(100*0/(F65-521000)&lt;0.005,"*",100*0/(F65-521000)),0)</f>
        <v>0</v>
      </c>
    </row>
    <row r="16" spans="1:7" ht="12.75">
      <c r="A16" s="11" t="s">
        <v>98</v>
      </c>
      <c r="B16" s="17">
        <v>0</v>
      </c>
      <c r="C16" s="17">
        <v>0</v>
      </c>
      <c r="D16" s="17">
        <v>0</v>
      </c>
      <c r="E16" s="17">
        <v>0</v>
      </c>
      <c r="F16" s="17">
        <v>0</v>
      </c>
      <c r="G16" s="18">
        <f>IF(AND(F65&lt;&gt;521000,0&lt;&gt;0),IF(100*0/(F65-521000)&lt;0.005,"*",100*0/(F65-521000)),0)</f>
        <v>0</v>
      </c>
    </row>
    <row r="17" spans="1:7" ht="12.75">
      <c r="A17" s="11" t="s">
        <v>99</v>
      </c>
      <c r="B17" s="17">
        <v>0</v>
      </c>
      <c r="C17" s="17">
        <v>0</v>
      </c>
      <c r="D17" s="17">
        <v>0</v>
      </c>
      <c r="E17" s="17">
        <v>0</v>
      </c>
      <c r="F17" s="17">
        <v>0</v>
      </c>
      <c r="G17" s="18">
        <f>IF(AND(F65&lt;&gt;521000,0&lt;&gt;0),IF(100*0/(F65-521000)&lt;0.005,"*",100*0/(F65-521000)),0)</f>
        <v>0</v>
      </c>
    </row>
    <row r="18" spans="1:7" ht="12.75">
      <c r="A18" s="11" t="s">
        <v>100</v>
      </c>
      <c r="B18" s="17">
        <v>0</v>
      </c>
      <c r="C18" s="17">
        <v>0</v>
      </c>
      <c r="D18" s="17">
        <v>0</v>
      </c>
      <c r="E18" s="17">
        <v>0</v>
      </c>
      <c r="F18" s="17">
        <v>0</v>
      </c>
      <c r="G18" s="18">
        <f>IF(AND(F65&lt;&gt;521000,0&lt;&gt;0),IF(100*0/(F65-521000)&lt;0.005,"*",100*0/(F65-521000)),0)</f>
        <v>0</v>
      </c>
    </row>
    <row r="19" spans="1:7" ht="12.75">
      <c r="A19" s="11" t="s">
        <v>101</v>
      </c>
      <c r="B19" s="17">
        <v>74575</v>
      </c>
      <c r="C19" s="17">
        <v>54150</v>
      </c>
      <c r="D19" s="17">
        <v>0</v>
      </c>
      <c r="E19" s="17">
        <v>54150</v>
      </c>
      <c r="F19" s="17">
        <v>47492</v>
      </c>
      <c r="G19" s="18">
        <f>IF(AND(F65&lt;&gt;521000,47492&lt;&gt;0),IF(100*47492/(F65-521000)&lt;0.005,"*",100*47492/(F65-521000)),0)</f>
        <v>1.578966091726453</v>
      </c>
    </row>
    <row r="20" spans="1:7" ht="12.75">
      <c r="A20" s="11" t="s">
        <v>102</v>
      </c>
      <c r="B20" s="17">
        <v>0</v>
      </c>
      <c r="C20" s="17">
        <v>0</v>
      </c>
      <c r="D20" s="17">
        <v>0</v>
      </c>
      <c r="E20" s="17">
        <v>0</v>
      </c>
      <c r="F20" s="17">
        <v>0</v>
      </c>
      <c r="G20" s="18">
        <f>IF(AND(F65&lt;&gt;521000,0&lt;&gt;0),IF(100*0/(F65-521000)&lt;0.005,"*",100*0/(F65-521000)),0)</f>
        <v>0</v>
      </c>
    </row>
    <row r="21" spans="1:7" ht="12.75">
      <c r="A21" s="11" t="s">
        <v>103</v>
      </c>
      <c r="B21" s="17">
        <v>0</v>
      </c>
      <c r="C21" s="17">
        <v>0</v>
      </c>
      <c r="D21" s="17">
        <v>0</v>
      </c>
      <c r="E21" s="17">
        <v>0</v>
      </c>
      <c r="F21" s="17">
        <v>0</v>
      </c>
      <c r="G21" s="18">
        <f>IF(AND(F65&lt;&gt;521000,0&lt;&gt;0),IF(100*0/(F65-521000)&lt;0.005,"*",100*0/(F65-521000)),0)</f>
        <v>0</v>
      </c>
    </row>
    <row r="22" spans="1:7" ht="12.75">
      <c r="A22" s="11" t="s">
        <v>104</v>
      </c>
      <c r="B22" s="17">
        <v>0</v>
      </c>
      <c r="C22" s="17">
        <v>0</v>
      </c>
      <c r="D22" s="17">
        <v>0</v>
      </c>
      <c r="E22" s="17">
        <v>0</v>
      </c>
      <c r="F22" s="17">
        <v>0</v>
      </c>
      <c r="G22" s="18">
        <f>IF(AND(F65&lt;&gt;521000,0&lt;&gt;0),IF(100*0/(F65-521000)&lt;0.005,"*",100*0/(F65-521000)),0)</f>
        <v>0</v>
      </c>
    </row>
    <row r="23" spans="1:7" ht="12.75">
      <c r="A23" s="11" t="s">
        <v>105</v>
      </c>
      <c r="B23" s="17">
        <v>0</v>
      </c>
      <c r="C23" s="17">
        <v>0</v>
      </c>
      <c r="D23" s="17">
        <v>0</v>
      </c>
      <c r="E23" s="17">
        <v>0</v>
      </c>
      <c r="F23" s="17">
        <v>0</v>
      </c>
      <c r="G23" s="18">
        <f>IF(AND(F65&lt;&gt;521000,0&lt;&gt;0),IF(100*0/(F65-521000)&lt;0.005,"*",100*0/(F65-521000)),0)</f>
        <v>0</v>
      </c>
    </row>
    <row r="24" spans="1:7" ht="12.75">
      <c r="A24" s="11" t="s">
        <v>106</v>
      </c>
      <c r="B24" s="17">
        <v>67109</v>
      </c>
      <c r="C24" s="17">
        <v>95346</v>
      </c>
      <c r="D24" s="17">
        <v>0</v>
      </c>
      <c r="E24" s="17">
        <v>95346</v>
      </c>
      <c r="F24" s="17">
        <v>49044</v>
      </c>
      <c r="G24" s="18">
        <f>IF(AND(F65&lt;&gt;521000,49044&lt;&gt;0),IF(100*49044/(F65-521000)&lt;0.005,"*",100*49044/(F65-521000)),0)</f>
        <v>1.6305654216001044</v>
      </c>
    </row>
    <row r="25" spans="1:7" ht="12.75">
      <c r="A25" s="11" t="s">
        <v>107</v>
      </c>
      <c r="B25" s="17">
        <v>0</v>
      </c>
      <c r="C25" s="17">
        <v>0</v>
      </c>
      <c r="D25" s="17">
        <v>0</v>
      </c>
      <c r="E25" s="17">
        <v>0</v>
      </c>
      <c r="F25" s="17">
        <v>0</v>
      </c>
      <c r="G25" s="18">
        <f>IF(AND(F65&lt;&gt;521000,0&lt;&gt;0),IF(100*0/(F65-521000)&lt;0.005,"*",100*0/(F65-521000)),0)</f>
        <v>0</v>
      </c>
    </row>
    <row r="26" spans="1:7" ht="12.75">
      <c r="A26" s="11" t="s">
        <v>108</v>
      </c>
      <c r="B26" s="17">
        <v>1100</v>
      </c>
      <c r="C26" s="17">
        <v>8540</v>
      </c>
      <c r="D26" s="17">
        <v>0</v>
      </c>
      <c r="E26" s="17">
        <v>8540</v>
      </c>
      <c r="F26" s="17">
        <v>7022</v>
      </c>
      <c r="G26" s="18">
        <f>IF(AND(F65&lt;&gt;521000,7022&lt;&gt;0),IF(100*7022/(F65-521000)&lt;0.005,"*",100*7022/(F65-521000)),0)</f>
        <v>0.23346037008555448</v>
      </c>
    </row>
    <row r="27" spans="1:7" ht="12.75">
      <c r="A27" s="11" t="s">
        <v>109</v>
      </c>
      <c r="B27" s="17">
        <v>2321</v>
      </c>
      <c r="C27" s="17">
        <v>4500</v>
      </c>
      <c r="D27" s="17">
        <v>0</v>
      </c>
      <c r="E27" s="17">
        <v>4500</v>
      </c>
      <c r="F27" s="17">
        <v>4740</v>
      </c>
      <c r="G27" s="18">
        <f>IF(AND(F65&lt;&gt;521000,4740&lt;&gt;0),IF(100*4740/(F65-521000)&lt;0.005,"*",100*4740/(F65-521000)),0)</f>
        <v>0.15759073685638397</v>
      </c>
    </row>
    <row r="28" spans="1:7" ht="12.75">
      <c r="A28" s="11" t="s">
        <v>110</v>
      </c>
      <c r="B28" s="17">
        <v>1368</v>
      </c>
      <c r="C28" s="17">
        <v>0</v>
      </c>
      <c r="D28" s="17">
        <v>0</v>
      </c>
      <c r="E28" s="17">
        <v>0</v>
      </c>
      <c r="F28" s="17">
        <v>0</v>
      </c>
      <c r="G28" s="18">
        <f>IF(AND(F65&lt;&gt;521000,0&lt;&gt;0),IF(100*0/(F65-521000)&lt;0.005,"*",100*0/(F65-521000)),0)</f>
        <v>0</v>
      </c>
    </row>
    <row r="29" spans="1:7" ht="12.75">
      <c r="A29" s="11" t="s">
        <v>111</v>
      </c>
      <c r="B29" s="17">
        <v>0</v>
      </c>
      <c r="C29" s="17">
        <v>0</v>
      </c>
      <c r="D29" s="17">
        <v>0</v>
      </c>
      <c r="E29" s="17">
        <v>0</v>
      </c>
      <c r="F29" s="17">
        <v>0</v>
      </c>
      <c r="G29" s="18">
        <f>IF(AND(F65&lt;&gt;521000,0&lt;&gt;0),IF(100*0/(F65-521000)&lt;0.005,"*",100*0/(F65-521000)),0)</f>
        <v>0</v>
      </c>
    </row>
    <row r="30" spans="1:7" ht="12.75">
      <c r="A30" s="11" t="s">
        <v>112</v>
      </c>
      <c r="B30" s="17">
        <v>0</v>
      </c>
      <c r="C30" s="17">
        <v>0</v>
      </c>
      <c r="D30" s="17">
        <v>0</v>
      </c>
      <c r="E30" s="17">
        <v>0</v>
      </c>
      <c r="F30" s="17">
        <v>0</v>
      </c>
      <c r="G30" s="18">
        <f>IF(AND(F65&lt;&gt;521000,0&lt;&gt;0),IF(100*0/(F65-521000)&lt;0.005,"*",100*0/(F65-521000)),0)</f>
        <v>0</v>
      </c>
    </row>
    <row r="31" spans="1:7" ht="12.75">
      <c r="A31" s="11" t="s">
        <v>113</v>
      </c>
      <c r="B31" s="17">
        <v>29429</v>
      </c>
      <c r="C31" s="17">
        <v>55209</v>
      </c>
      <c r="D31" s="17">
        <v>0</v>
      </c>
      <c r="E31" s="17">
        <v>55209</v>
      </c>
      <c r="F31" s="17">
        <v>31821</v>
      </c>
      <c r="G31" s="18">
        <f>IF(AND(F65&lt;&gt;521000,31821&lt;&gt;0),IF(100*31821/(F65-521000)&lt;0.005,"*",100*31821/(F65-521000)),0)</f>
        <v>1.0579524973643448</v>
      </c>
    </row>
    <row r="32" spans="1:7" ht="12.75">
      <c r="A32" s="11" t="s">
        <v>114</v>
      </c>
      <c r="B32" s="17">
        <v>0</v>
      </c>
      <c r="C32" s="17">
        <v>0</v>
      </c>
      <c r="D32" s="17">
        <v>0</v>
      </c>
      <c r="E32" s="17">
        <v>0</v>
      </c>
      <c r="F32" s="17">
        <v>0</v>
      </c>
      <c r="G32" s="18">
        <f>IF(AND(F65&lt;&gt;521000,0&lt;&gt;0),IF(100*0/(F65-521000)&lt;0.005,"*",100*0/(F65-521000)),0)</f>
        <v>0</v>
      </c>
    </row>
    <row r="33" spans="1:7" ht="12.75">
      <c r="A33" s="11" t="s">
        <v>115</v>
      </c>
      <c r="B33" s="17">
        <v>0</v>
      </c>
      <c r="C33" s="17">
        <v>0</v>
      </c>
      <c r="D33" s="17">
        <v>0</v>
      </c>
      <c r="E33" s="17">
        <v>0</v>
      </c>
      <c r="F33" s="17">
        <v>0</v>
      </c>
      <c r="G33" s="18">
        <f>IF(AND(F65&lt;&gt;521000,0&lt;&gt;0),IF(100*0/(F65-521000)&lt;0.005,"*",100*0/(F65-521000)),0)</f>
        <v>0</v>
      </c>
    </row>
    <row r="34" spans="1:7" ht="12.75">
      <c r="A34" s="11" t="s">
        <v>116</v>
      </c>
      <c r="B34" s="17">
        <v>0</v>
      </c>
      <c r="C34" s="17">
        <v>0</v>
      </c>
      <c r="D34" s="17">
        <v>0</v>
      </c>
      <c r="E34" s="17">
        <v>0</v>
      </c>
      <c r="F34" s="17">
        <v>0</v>
      </c>
      <c r="G34" s="18">
        <f>IF(AND(F65&lt;&gt;521000,0&lt;&gt;0),IF(100*0/(F65-521000)&lt;0.005,"*",100*0/(F65-521000)),0)</f>
        <v>0</v>
      </c>
    </row>
    <row r="35" spans="1:7" ht="12.75">
      <c r="A35" s="11" t="s">
        <v>117</v>
      </c>
      <c r="B35" s="17">
        <v>0</v>
      </c>
      <c r="C35" s="17">
        <v>0</v>
      </c>
      <c r="D35" s="17">
        <v>0</v>
      </c>
      <c r="E35" s="17">
        <v>0</v>
      </c>
      <c r="F35" s="17">
        <v>0</v>
      </c>
      <c r="G35" s="18">
        <f>IF(AND(F65&lt;&gt;521000,0&lt;&gt;0),IF(100*0/(F65-521000)&lt;0.005,"*",100*0/(F65-521000)),0)</f>
        <v>0</v>
      </c>
    </row>
    <row r="36" spans="1:7" ht="12.75">
      <c r="A36" s="11" t="s">
        <v>118</v>
      </c>
      <c r="B36" s="17">
        <v>1395500</v>
      </c>
      <c r="C36" s="17">
        <v>750000</v>
      </c>
      <c r="D36" s="17">
        <v>0</v>
      </c>
      <c r="E36" s="17">
        <v>750000</v>
      </c>
      <c r="F36" s="17">
        <v>522693</v>
      </c>
      <c r="G36" s="18">
        <f>IF(AND(F65&lt;&gt;521000,522693&lt;&gt;0),IF(100*522693/(F65-521000)&lt;0.005,"*",100*522693/(F65-521000)),0)</f>
        <v>17.377969413433313</v>
      </c>
    </row>
    <row r="37" spans="1:7" ht="12.75">
      <c r="A37" s="11" t="s">
        <v>119</v>
      </c>
      <c r="B37" s="17">
        <v>0</v>
      </c>
      <c r="C37" s="17">
        <v>0</v>
      </c>
      <c r="D37" s="17">
        <v>0</v>
      </c>
      <c r="E37" s="17">
        <v>0</v>
      </c>
      <c r="F37" s="17">
        <v>0</v>
      </c>
      <c r="G37" s="18">
        <f>IF(AND(F65&lt;&gt;521000,0&lt;&gt;0),IF(100*0/(F65-521000)&lt;0.005,"*",100*0/(F65-521000)),0)</f>
        <v>0</v>
      </c>
    </row>
    <row r="38" spans="1:7" ht="12.75">
      <c r="A38" s="11" t="s">
        <v>120</v>
      </c>
      <c r="B38" s="17">
        <v>1800000</v>
      </c>
      <c r="C38" s="17">
        <v>2805000</v>
      </c>
      <c r="D38" s="17">
        <v>0</v>
      </c>
      <c r="E38" s="17">
        <v>2805000</v>
      </c>
      <c r="F38" s="17">
        <v>2157758</v>
      </c>
      <c r="G38" s="18">
        <f>IF(AND(F65&lt;&gt;521000,2157758&lt;&gt;0),IF(100*2157758/(F65-521000)&lt;0.005,"*",100*2157758/(F65-521000)),0)</f>
        <v>71.73896058602476</v>
      </c>
    </row>
    <row r="39" spans="1:7" ht="12.75">
      <c r="A39" s="11" t="s">
        <v>121</v>
      </c>
      <c r="B39" s="17">
        <v>0</v>
      </c>
      <c r="C39" s="17">
        <v>0</v>
      </c>
      <c r="D39" s="17">
        <v>0</v>
      </c>
      <c r="E39" s="17">
        <v>0</v>
      </c>
      <c r="F39" s="17">
        <v>0</v>
      </c>
      <c r="G39" s="18">
        <f>IF(AND(F65&lt;&gt;521000,0&lt;&gt;0),IF(100*0/(F65-521000)&lt;0.005,"*",100*0/(F65-521000)),0)</f>
        <v>0</v>
      </c>
    </row>
    <row r="40" spans="1:7" ht="12.75">
      <c r="A40" s="11" t="s">
        <v>122</v>
      </c>
      <c r="B40" s="17">
        <v>0</v>
      </c>
      <c r="C40" s="17">
        <v>3413</v>
      </c>
      <c r="D40" s="17">
        <v>0</v>
      </c>
      <c r="E40" s="17">
        <v>3413</v>
      </c>
      <c r="F40" s="17">
        <v>3461</v>
      </c>
      <c r="G40" s="18">
        <f>IF(AND(F65&lt;&gt;521000,3461&lt;&gt;0),IF(100*3461/(F65-521000)&lt;0.005,"*",100*3461/(F65-521000)),0)</f>
        <v>0.11506783549787868</v>
      </c>
    </row>
    <row r="41" spans="1:7" ht="12.75">
      <c r="A41" s="11" t="s">
        <v>123</v>
      </c>
      <c r="B41" s="17">
        <v>0</v>
      </c>
      <c r="C41" s="17">
        <v>0</v>
      </c>
      <c r="D41" s="17">
        <v>0</v>
      </c>
      <c r="E41" s="17">
        <v>0</v>
      </c>
      <c r="F41" s="17">
        <v>0</v>
      </c>
      <c r="G41" s="18">
        <f>IF(AND(F65&lt;&gt;521000,0&lt;&gt;0),IF(100*0/(F65-521000)&lt;0.005,"*",100*0/(F65-521000)),0)</f>
        <v>0</v>
      </c>
    </row>
    <row r="42" spans="1:7" ht="12.75">
      <c r="A42" s="11" t="s">
        <v>124</v>
      </c>
      <c r="B42" s="17">
        <v>36835</v>
      </c>
      <c r="C42" s="17">
        <v>67148</v>
      </c>
      <c r="D42" s="17">
        <v>0</v>
      </c>
      <c r="E42" s="17">
        <v>67148</v>
      </c>
      <c r="F42" s="17">
        <v>36471</v>
      </c>
      <c r="G42" s="18">
        <f>IF(AND(F65&lt;&gt;521000,36471&lt;&gt;0),IF(100*36471/(F65-521000)&lt;0.005,"*",100*36471/(F65-521000)),0)</f>
        <v>1.2125510050399113</v>
      </c>
    </row>
    <row r="43" spans="1:7" ht="12.75">
      <c r="A43" s="11" t="s">
        <v>125</v>
      </c>
      <c r="B43" s="17">
        <v>0</v>
      </c>
      <c r="C43" s="17">
        <v>0</v>
      </c>
      <c r="D43" s="17">
        <v>0</v>
      </c>
      <c r="E43" s="17">
        <v>0</v>
      </c>
      <c r="F43" s="17">
        <v>0</v>
      </c>
      <c r="G43" s="18">
        <f>IF(AND(F65&lt;&gt;521000,0&lt;&gt;0),IF(100*0/(F65-521000)&lt;0.005,"*",100*0/(F65-521000)),0)</f>
        <v>0</v>
      </c>
    </row>
    <row r="44" spans="1:7" ht="12.75">
      <c r="A44" s="11" t="s">
        <v>126</v>
      </c>
      <c r="B44" s="17">
        <v>16557</v>
      </c>
      <c r="C44" s="17">
        <v>20000</v>
      </c>
      <c r="D44" s="17">
        <v>0</v>
      </c>
      <c r="E44" s="17">
        <v>20000</v>
      </c>
      <c r="F44" s="17">
        <v>1061</v>
      </c>
      <c r="G44" s="18">
        <f>IF(AND(F65&lt;&gt;521000,1061&lt;&gt;0),IF(100*1061/(F65-521000)&lt;0.005,"*",100*1061/(F65-521000)),0)</f>
        <v>0.03527505734274755</v>
      </c>
    </row>
    <row r="45" spans="1:7" ht="12.75">
      <c r="A45" s="11" t="s">
        <v>127</v>
      </c>
      <c r="B45" s="17">
        <v>7255</v>
      </c>
      <c r="C45" s="17">
        <v>6000</v>
      </c>
      <c r="D45" s="17">
        <v>0</v>
      </c>
      <c r="E45" s="17">
        <v>6000</v>
      </c>
      <c r="F45" s="17">
        <v>3338</v>
      </c>
      <c r="G45" s="18">
        <f>IF(AND(F65&lt;&gt;521000,3338&lt;&gt;0),IF(100*3338/(F65-521000)&lt;0.005,"*",100*3338/(F65-521000)),0)</f>
        <v>0.11097845561742821</v>
      </c>
    </row>
    <row r="46" spans="1:7" ht="12.75">
      <c r="A46" s="11" t="s">
        <v>128</v>
      </c>
      <c r="B46" s="17">
        <v>0</v>
      </c>
      <c r="C46" s="17">
        <v>0</v>
      </c>
      <c r="D46" s="17">
        <v>0</v>
      </c>
      <c r="E46" s="17">
        <v>0</v>
      </c>
      <c r="F46" s="17">
        <v>0</v>
      </c>
      <c r="G46" s="18">
        <f>IF(AND(F65&lt;&gt;521000,0&lt;&gt;0),IF(100*0/(F65-521000)&lt;0.005,"*",100*0/(F65-521000)),0)</f>
        <v>0</v>
      </c>
    </row>
    <row r="47" spans="1:7" ht="12.75">
      <c r="A47" s="11" t="s">
        <v>129</v>
      </c>
      <c r="B47" s="17">
        <v>0</v>
      </c>
      <c r="C47" s="17">
        <v>0</v>
      </c>
      <c r="D47" s="17">
        <v>0</v>
      </c>
      <c r="E47" s="17">
        <v>0</v>
      </c>
      <c r="F47" s="17">
        <v>0</v>
      </c>
      <c r="G47" s="18">
        <f>IF(AND(F65&lt;&gt;521000,0&lt;&gt;0),IF(100*0/(F65-521000)&lt;0.005,"*",100*0/(F65-521000)),0)</f>
        <v>0</v>
      </c>
    </row>
    <row r="48" spans="1:7" ht="12.75">
      <c r="A48" s="11" t="s">
        <v>130</v>
      </c>
      <c r="B48" s="17">
        <v>4200</v>
      </c>
      <c r="C48" s="17">
        <v>3000</v>
      </c>
      <c r="D48" s="17">
        <v>0</v>
      </c>
      <c r="E48" s="17">
        <v>3000</v>
      </c>
      <c r="F48" s="17">
        <v>1610</v>
      </c>
      <c r="G48" s="18">
        <f>IF(AND(F65&lt;&gt;521000,1610&lt;&gt;0),IF(100*1610/(F65-521000)&lt;0.005,"*",100*1610/(F65-521000)),0)</f>
        <v>0.053527655345733796</v>
      </c>
    </row>
    <row r="49" spans="1:7" ht="12.75">
      <c r="A49" s="11" t="s">
        <v>131</v>
      </c>
      <c r="B49" s="17">
        <v>0</v>
      </c>
      <c r="C49" s="17">
        <v>0</v>
      </c>
      <c r="D49" s="17">
        <v>0</v>
      </c>
      <c r="E49" s="17">
        <v>0</v>
      </c>
      <c r="F49" s="17">
        <v>0</v>
      </c>
      <c r="G49" s="18">
        <f>IF(AND(F65&lt;&gt;521000,0&lt;&gt;0),IF(100*0/(F65-521000)&lt;0.005,"*",100*0/(F65-521000)),0)</f>
        <v>0</v>
      </c>
    </row>
    <row r="50" spans="1:7" ht="12.75">
      <c r="A50" s="11" t="s">
        <v>132</v>
      </c>
      <c r="B50" s="17">
        <v>0</v>
      </c>
      <c r="C50" s="17">
        <v>0</v>
      </c>
      <c r="D50" s="17">
        <v>0</v>
      </c>
      <c r="E50" s="17">
        <v>0</v>
      </c>
      <c r="F50" s="17">
        <v>0</v>
      </c>
      <c r="G50" s="18">
        <f>IF(AND(F65&lt;&gt;521000,0&lt;&gt;0),IF(100*0/(F65-521000)&lt;0.005,"*",100*0/(F65-521000)),0)</f>
        <v>0</v>
      </c>
    </row>
    <row r="51" spans="1:7" ht="12.75">
      <c r="A51" s="11" t="s">
        <v>133</v>
      </c>
      <c r="B51" s="17">
        <v>0</v>
      </c>
      <c r="C51" s="17">
        <v>4700</v>
      </c>
      <c r="D51" s="17">
        <v>0</v>
      </c>
      <c r="E51" s="17">
        <v>4700</v>
      </c>
      <c r="F51" s="17">
        <v>0</v>
      </c>
      <c r="G51" s="18">
        <f>IF(AND(F65&lt;&gt;521000,0&lt;&gt;0),IF(100*0/(F65-521000)&lt;0.005,"*",100*0/(F65-521000)),0)</f>
        <v>0</v>
      </c>
    </row>
    <row r="52" spans="1:7" ht="12.75">
      <c r="A52" s="11" t="s">
        <v>134</v>
      </c>
      <c r="B52" s="17">
        <v>0</v>
      </c>
      <c r="C52" s="17">
        <v>0</v>
      </c>
      <c r="D52" s="17">
        <v>0</v>
      </c>
      <c r="E52" s="17">
        <v>0</v>
      </c>
      <c r="F52" s="17">
        <v>0</v>
      </c>
      <c r="G52" s="18">
        <f>IF(AND(F65&lt;&gt;521000,0&lt;&gt;0),IF(100*0/(F65-521000)&lt;0.005,"*",100*0/(F65-521000)),0)</f>
        <v>0</v>
      </c>
    </row>
    <row r="53" spans="1:7" ht="12.75">
      <c r="A53" s="11" t="s">
        <v>135</v>
      </c>
      <c r="B53" s="17">
        <v>0</v>
      </c>
      <c r="C53" s="17">
        <v>0</v>
      </c>
      <c r="D53" s="17">
        <v>0</v>
      </c>
      <c r="E53" s="17">
        <v>0</v>
      </c>
      <c r="F53" s="17">
        <v>0</v>
      </c>
      <c r="G53" s="18">
        <f>IF(AND(F65&lt;&gt;521000,0&lt;&gt;0),IF(100*0/(F65-521000)&lt;0.005,"*",100*0/(F65-521000)),0)</f>
        <v>0</v>
      </c>
    </row>
    <row r="54" spans="1:7" ht="12.75">
      <c r="A54" s="11" t="s">
        <v>136</v>
      </c>
      <c r="B54" s="17">
        <v>0</v>
      </c>
      <c r="C54" s="17">
        <v>0</v>
      </c>
      <c r="D54" s="17">
        <v>0</v>
      </c>
      <c r="E54" s="17">
        <v>0</v>
      </c>
      <c r="F54" s="17">
        <v>0</v>
      </c>
      <c r="G54" s="18">
        <f>IF(AND(F65&lt;&gt;521000,0&lt;&gt;0),IF(100*0/(F65-521000)&lt;0.005,"*",100*0/(F65-521000)),0)</f>
        <v>0</v>
      </c>
    </row>
    <row r="55" spans="1:7" ht="12.75">
      <c r="A55" s="11" t="s">
        <v>137</v>
      </c>
      <c r="B55" s="17">
        <v>0</v>
      </c>
      <c r="C55" s="17">
        <v>0</v>
      </c>
      <c r="D55" s="17">
        <v>0</v>
      </c>
      <c r="E55" s="17">
        <v>0</v>
      </c>
      <c r="F55" s="17">
        <v>0</v>
      </c>
      <c r="G55" s="18">
        <f>IF(AND(F65&lt;&gt;521000,0&lt;&gt;0),IF(100*0/(F65-521000)&lt;0.005,"*",100*0/(F65-521000)),0)</f>
        <v>0</v>
      </c>
    </row>
    <row r="56" spans="1:7" ht="12.75">
      <c r="A56" s="11" t="s">
        <v>138</v>
      </c>
      <c r="B56" s="17">
        <v>0</v>
      </c>
      <c r="C56" s="17">
        <v>0</v>
      </c>
      <c r="D56" s="17">
        <v>0</v>
      </c>
      <c r="E56" s="17">
        <v>0</v>
      </c>
      <c r="F56" s="17">
        <v>0</v>
      </c>
      <c r="G56" s="18">
        <f>IF(AND(F65&lt;&gt;521000,0&lt;&gt;0),IF(100*0/(F65-521000)&lt;0.005,"*",100*0/(F65-521000)),0)</f>
        <v>0</v>
      </c>
    </row>
    <row r="57" spans="1:7" ht="12.75">
      <c r="A57" s="11" t="s">
        <v>139</v>
      </c>
      <c r="B57" s="17">
        <v>0</v>
      </c>
      <c r="C57" s="17">
        <v>0</v>
      </c>
      <c r="D57" s="17">
        <v>0</v>
      </c>
      <c r="E57" s="17">
        <v>0</v>
      </c>
      <c r="F57" s="17">
        <v>0</v>
      </c>
      <c r="G57" s="18">
        <f>IF(AND(F65&lt;&gt;521000,0&lt;&gt;0),IF(100*0/(F65-521000)&lt;0.005,"*",100*0/(F65-521000)),0)</f>
        <v>0</v>
      </c>
    </row>
    <row r="58" spans="1:7" ht="12.75">
      <c r="A58" s="11" t="s">
        <v>140</v>
      </c>
      <c r="B58" s="17">
        <v>0</v>
      </c>
      <c r="C58" s="17">
        <v>0</v>
      </c>
      <c r="D58" s="17">
        <v>0</v>
      </c>
      <c r="E58" s="17">
        <v>0</v>
      </c>
      <c r="F58" s="17">
        <v>0</v>
      </c>
      <c r="G58" s="18">
        <f>IF(AND(F65&lt;&gt;521000,0&lt;&gt;0),IF(100*0/(F65-521000)&lt;0.005,"*",100*0/(F65-521000)),0)</f>
        <v>0</v>
      </c>
    </row>
    <row r="59" spans="1:7" ht="12.75">
      <c r="A59" s="11" t="s">
        <v>141</v>
      </c>
      <c r="B59" s="17">
        <v>0</v>
      </c>
      <c r="C59" s="17">
        <v>0</v>
      </c>
      <c r="D59" s="17">
        <v>0</v>
      </c>
      <c r="E59" s="17">
        <v>0</v>
      </c>
      <c r="F59" s="17">
        <v>0</v>
      </c>
      <c r="G59" s="18">
        <f>IF(AND(F65&lt;&gt;521000,0&lt;&gt;0),IF(100*0/(F65-521000)&lt;0.005,"*",100*0/(F65-521000)),0)</f>
        <v>0</v>
      </c>
    </row>
    <row r="60" spans="1:7" ht="12.75">
      <c r="A60" s="11" t="s">
        <v>142</v>
      </c>
      <c r="B60" s="17">
        <v>0</v>
      </c>
      <c r="C60" s="17">
        <v>0</v>
      </c>
      <c r="D60" s="17">
        <v>0</v>
      </c>
      <c r="E60" s="17">
        <v>0</v>
      </c>
      <c r="F60" s="17">
        <v>0</v>
      </c>
      <c r="G60" s="18">
        <f>IF(AND(F65&lt;&gt;521000,0&lt;&gt;0),IF(100*0/(F65-521000)&lt;0.005,"*",100*0/(F65-521000)),0)</f>
        <v>0</v>
      </c>
    </row>
    <row r="61" spans="1:7" ht="12.75">
      <c r="A61" s="11" t="s">
        <v>143</v>
      </c>
      <c r="B61" s="17">
        <v>0</v>
      </c>
      <c r="C61" s="17">
        <v>0</v>
      </c>
      <c r="D61" s="17">
        <v>0</v>
      </c>
      <c r="E61" s="17">
        <v>0</v>
      </c>
      <c r="F61" s="17">
        <v>0</v>
      </c>
      <c r="G61" s="18">
        <f>IF(AND(F65&lt;&gt;521000,0&lt;&gt;0),IF(100*0/(F65-521000)&lt;0.005,"*",100*0/(F65-521000)),0)</f>
        <v>0</v>
      </c>
    </row>
    <row r="62" spans="1:7" ht="12.75">
      <c r="A62" s="11" t="s">
        <v>144</v>
      </c>
      <c r="B62" s="17">
        <v>0</v>
      </c>
      <c r="C62" s="17">
        <v>0</v>
      </c>
      <c r="D62" s="17">
        <v>0</v>
      </c>
      <c r="E62" s="17">
        <v>0</v>
      </c>
      <c r="F62" s="17">
        <v>0</v>
      </c>
      <c r="G62" s="18">
        <f>IF(AND(F65&lt;&gt;521000,0&lt;&gt;0),IF(100*0/(F65-521000)&lt;0.005,"*",100*0/(F65-521000)),0)</f>
        <v>0</v>
      </c>
    </row>
    <row r="63" spans="1:7" ht="12.75">
      <c r="A63" s="11" t="s">
        <v>145</v>
      </c>
      <c r="B63" s="17">
        <v>0</v>
      </c>
      <c r="C63" s="17">
        <v>0</v>
      </c>
      <c r="D63" s="17">
        <v>0</v>
      </c>
      <c r="E63" s="17">
        <v>0</v>
      </c>
      <c r="F63" s="17">
        <v>0</v>
      </c>
      <c r="G63" s="18">
        <f>IF(AND(F65&lt;&gt;521000,0&lt;&gt;0),IF(100*0/(F65-521000)&lt;0.005,"*",100*0/(F65-521000)),0)</f>
        <v>0</v>
      </c>
    </row>
    <row r="64" spans="1:7" ht="12.75">
      <c r="A64" s="11" t="s">
        <v>146</v>
      </c>
      <c r="B64" s="17">
        <v>0</v>
      </c>
      <c r="C64" s="17">
        <v>508000</v>
      </c>
      <c r="D64" s="17">
        <v>299000</v>
      </c>
      <c r="E64" s="17">
        <v>807000</v>
      </c>
      <c r="F64" s="17">
        <v>521000</v>
      </c>
      <c r="G64" s="18">
        <v>0</v>
      </c>
    </row>
    <row r="65" spans="1:7" ht="15" customHeight="1">
      <c r="A65" s="19" t="s">
        <v>87</v>
      </c>
      <c r="B65" s="20">
        <f>10115+0+0+0+0+42277+40000+0+0+0+0+0+0+74575+0+0+0+0+67109+0+1100+2321+1368+0+0+29429+0+0+0+0+1395500+0+1800000+0+0+0+36835+0+16557+7255+0+0+4200+0+0+0+0+0+0+0+0+0+0+0+0+0+0+0+0+0</f>
        <v>3528641</v>
      </c>
      <c r="C65" s="20">
        <f>22762+0+0+0+0+134463+50000+0+0+0+0+0+0+54150+0+0+0+0+95346+0+8540+4500+0+0+0+55209+0+0+0+0+750000+0+2805000+0+3413+0+67148+0+20000+6000+0+0+3000+0+0+4700+0+0+0+0+0+0+0+0+0+0+0+0+508000+0</f>
        <v>4592231</v>
      </c>
      <c r="D65" s="20">
        <f>0+0+0+0+0+0+0+0+0+0+0+0+0+0+0+0+0+0+0+0+0+0+0+0+0+0+0+0+0+0+0+0+0+0+0+0+0+0+0+0+0+0+0+0+0+0+0+0+0+0+0+0+0+0+0+0+0+0+299000+0</f>
        <v>299000</v>
      </c>
      <c r="E65" s="20">
        <f>SUM(C65:D65)</f>
        <v>4891231</v>
      </c>
      <c r="F65" s="20">
        <f>21195+0+0+0+0+80806+39279+0+0+0+0+0+0+47492+0+0+0+0+49044+0+7022+4740+0+0+0+31821+0+0+0+0+522693+0+2157758+0+3461+0+36471+0+1061+3338+0+0+1610+0+0+0+0+0+0+0+0+0+0+0+0+0+0+0+521000+0</f>
        <v>3528791</v>
      </c>
      <c r="G65" s="21" t="s">
        <v>147</v>
      </c>
    </row>
    <row r="66" spans="1:7" ht="15" customHeight="1">
      <c r="A66" s="33" t="s">
        <v>148</v>
      </c>
      <c r="B66" s="33"/>
      <c r="C66" s="33"/>
      <c r="D66" s="33"/>
      <c r="E66" s="33"/>
      <c r="F66" s="33"/>
      <c r="G66" s="33"/>
    </row>
    <row r="67" spans="1:7" ht="15" customHeight="1">
      <c r="A67" s="26" t="s">
        <v>149</v>
      </c>
      <c r="B67" s="26"/>
      <c r="C67" s="26"/>
      <c r="D67" s="26"/>
      <c r="E67" s="26"/>
      <c r="F67" s="26"/>
      <c r="G67" s="26"/>
    </row>
  </sheetData>
  <sheetProtection/>
  <mergeCells count="6">
    <mergeCell ref="A67:G67"/>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31.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354</v>
      </c>
      <c r="B1" s="10"/>
      <c r="C1" s="10"/>
      <c r="D1" s="10"/>
      <c r="E1" s="10"/>
      <c r="F1" s="10"/>
      <c r="G1" s="12" t="s">
        <v>355</v>
      </c>
    </row>
    <row r="2" spans="1:7" ht="12.75">
      <c r="A2" s="13" t="s">
        <v>356</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31415</v>
      </c>
      <c r="C6" s="17">
        <v>0</v>
      </c>
      <c r="D6" s="17">
        <v>32488</v>
      </c>
      <c r="E6" s="17">
        <v>32488</v>
      </c>
      <c r="F6" s="17">
        <v>33118</v>
      </c>
      <c r="G6" s="18">
        <f>IF(AND(F67&lt;&gt;0,33118&lt;&gt;0),IF(100*33118/(F67-0)&lt;0.005,"*",100*33118/(F67-0)),0)</f>
        <v>1.1921886766914478</v>
      </c>
    </row>
    <row r="7" spans="1:7" ht="12.75">
      <c r="A7" s="11" t="s">
        <v>89</v>
      </c>
      <c r="B7" s="17">
        <v>25580</v>
      </c>
      <c r="C7" s="17">
        <v>0</v>
      </c>
      <c r="D7" s="17">
        <v>25305</v>
      </c>
      <c r="E7" s="17">
        <v>25305</v>
      </c>
      <c r="F7" s="17">
        <v>25066</v>
      </c>
      <c r="G7" s="18">
        <f>IF(AND(F67&lt;&gt;0,25066&lt;&gt;0),IF(100*25066/(F67-0)&lt;0.005,"*",100*25066/(F67-0)),0)</f>
        <v>0.9023311000044638</v>
      </c>
    </row>
    <row r="8" spans="1:7" ht="12.75">
      <c r="A8" s="11" t="s">
        <v>90</v>
      </c>
      <c r="B8" s="17">
        <v>35152</v>
      </c>
      <c r="C8" s="17">
        <v>0</v>
      </c>
      <c r="D8" s="17">
        <v>35352</v>
      </c>
      <c r="E8" s="17">
        <v>35352</v>
      </c>
      <c r="F8" s="17">
        <v>35119</v>
      </c>
      <c r="G8" s="18">
        <f>IF(AND(F67&lt;&gt;0,35119&lt;&gt;0),IF(100*35119/(F67-0)&lt;0.005,"*",100*35119/(F67-0)),0)</f>
        <v>1.2642210923584443</v>
      </c>
    </row>
    <row r="9" spans="1:7" ht="12.75">
      <c r="A9" s="11" t="s">
        <v>91</v>
      </c>
      <c r="B9" s="17">
        <v>21289</v>
      </c>
      <c r="C9" s="17">
        <v>0</v>
      </c>
      <c r="D9" s="17">
        <v>22030</v>
      </c>
      <c r="E9" s="17">
        <v>22030</v>
      </c>
      <c r="F9" s="17">
        <v>22188</v>
      </c>
      <c r="G9" s="18">
        <f>IF(AND(F67&lt;&gt;0,22188&lt;&gt;0),IF(100*22188/(F67-0)&lt;0.005,"*",100*22188/(F67-0)),0)</f>
        <v>0.7987282552820172</v>
      </c>
    </row>
    <row r="10" spans="1:7" ht="12.75">
      <c r="A10" s="11" t="s">
        <v>92</v>
      </c>
      <c r="B10" s="17">
        <v>376956</v>
      </c>
      <c r="C10" s="17">
        <v>0</v>
      </c>
      <c r="D10" s="17">
        <v>375286</v>
      </c>
      <c r="E10" s="17">
        <v>375286</v>
      </c>
      <c r="F10" s="17">
        <v>373284</v>
      </c>
      <c r="G10" s="18">
        <f>IF(AND(F67&lt;&gt;0,373284&lt;&gt;0),IF(100*373284/(F67-0)&lt;0.005,"*",100*373284/(F67-0)),0)</f>
        <v>13.43755534724592</v>
      </c>
    </row>
    <row r="11" spans="1:7" ht="12.75">
      <c r="A11" s="11" t="s">
        <v>93</v>
      </c>
      <c r="B11" s="17">
        <v>37052</v>
      </c>
      <c r="C11" s="17">
        <v>0</v>
      </c>
      <c r="D11" s="17">
        <v>37852</v>
      </c>
      <c r="E11" s="17">
        <v>37852</v>
      </c>
      <c r="F11" s="17">
        <v>37297</v>
      </c>
      <c r="G11" s="18">
        <f>IF(AND(F67&lt;&gt;0,37297&lt;&gt;0),IF(100*37297/(F67-0)&lt;0.005,"*",100*37297/(F67-0)),0)</f>
        <v>1.3426251909704974</v>
      </c>
    </row>
    <row r="12" spans="1:7" ht="12.75">
      <c r="A12" s="11" t="s">
        <v>94</v>
      </c>
      <c r="B12" s="17">
        <v>54286</v>
      </c>
      <c r="C12" s="17">
        <v>0</v>
      </c>
      <c r="D12" s="17">
        <v>51591</v>
      </c>
      <c r="E12" s="17">
        <v>51591</v>
      </c>
      <c r="F12" s="17">
        <v>50955</v>
      </c>
      <c r="G12" s="18">
        <f>IF(AND(F67&lt;&gt;0,50955&lt;&gt;0),IF(100*50955/(F67-0)&lt;0.005,"*",100*50955/(F67-0)),0)</f>
        <v>1.8342887257930045</v>
      </c>
    </row>
    <row r="13" spans="1:7" ht="12.75">
      <c r="A13" s="11" t="s">
        <v>95</v>
      </c>
      <c r="B13" s="17">
        <v>10387</v>
      </c>
      <c r="C13" s="17">
        <v>0</v>
      </c>
      <c r="D13" s="17">
        <v>9729</v>
      </c>
      <c r="E13" s="17">
        <v>9729</v>
      </c>
      <c r="F13" s="17">
        <v>9817</v>
      </c>
      <c r="G13" s="18">
        <f>IF(AND(F67&lt;&gt;0,9817&lt;&gt;0),IF(100*9817/(F67-0)&lt;0.005,"*",100*9817/(F67-0)),0)</f>
        <v>0.3533944150939049</v>
      </c>
    </row>
    <row r="14" spans="1:7" ht="12.75">
      <c r="A14" s="11" t="s">
        <v>96</v>
      </c>
      <c r="B14" s="17">
        <v>11819</v>
      </c>
      <c r="C14" s="17">
        <v>0</v>
      </c>
      <c r="D14" s="17">
        <v>11338</v>
      </c>
      <c r="E14" s="17">
        <v>11338</v>
      </c>
      <c r="F14" s="17">
        <v>11758</v>
      </c>
      <c r="G14" s="18">
        <f>IF(AND(F67&lt;&gt;0,11758&lt;&gt;0),IF(100*11758/(F67-0)&lt;0.005,"*",100*11758/(F67-0)),0)</f>
        <v>0.42326693823715333</v>
      </c>
    </row>
    <row r="15" spans="1:7" ht="12.75">
      <c r="A15" s="11" t="s">
        <v>97</v>
      </c>
      <c r="B15" s="17">
        <v>93474</v>
      </c>
      <c r="C15" s="17">
        <v>0</v>
      </c>
      <c r="D15" s="17">
        <v>95928</v>
      </c>
      <c r="E15" s="17">
        <v>95928</v>
      </c>
      <c r="F15" s="17">
        <v>97891</v>
      </c>
      <c r="G15" s="18">
        <f>IF(AND(F67&lt;&gt;0,97891&lt;&gt;0),IF(100*97891/(F67-0)&lt;0.005,"*",100*97891/(F67-0)),0)</f>
        <v>3.523900650703621</v>
      </c>
    </row>
    <row r="16" spans="1:7" ht="12.75">
      <c r="A16" s="11" t="s">
        <v>98</v>
      </c>
      <c r="B16" s="17">
        <v>62487</v>
      </c>
      <c r="C16" s="17">
        <v>0</v>
      </c>
      <c r="D16" s="17">
        <v>62149</v>
      </c>
      <c r="E16" s="17">
        <v>62149</v>
      </c>
      <c r="F16" s="17">
        <v>62351</v>
      </c>
      <c r="G16" s="18">
        <f>IF(AND(F67&lt;&gt;0,62351&lt;&gt;0),IF(100*62351/(F67-0)&lt;0.005,"*",100*62351/(F67-0)),0)</f>
        <v>2.2445243124702117</v>
      </c>
    </row>
    <row r="17" spans="1:7" ht="12.75">
      <c r="A17" s="11" t="s">
        <v>99</v>
      </c>
      <c r="B17" s="17">
        <v>15585</v>
      </c>
      <c r="C17" s="17">
        <v>0</v>
      </c>
      <c r="D17" s="17">
        <v>15703</v>
      </c>
      <c r="E17" s="17">
        <v>15703</v>
      </c>
      <c r="F17" s="17">
        <v>15792</v>
      </c>
      <c r="G17" s="18">
        <f>IF(AND(F67&lt;&gt;0,15792&lt;&gt;0),IF(100*15792/(F67-0)&lt;0.005,"*",100*15792/(F67-0)),0)</f>
        <v>0.5684837122504784</v>
      </c>
    </row>
    <row r="18" spans="1:7" ht="12.75">
      <c r="A18" s="11" t="s">
        <v>100</v>
      </c>
      <c r="B18" s="17">
        <v>16927</v>
      </c>
      <c r="C18" s="17">
        <v>0</v>
      </c>
      <c r="D18" s="17">
        <v>16088</v>
      </c>
      <c r="E18" s="17">
        <v>16088</v>
      </c>
      <c r="F18" s="17">
        <v>16216</v>
      </c>
      <c r="G18" s="18">
        <f>IF(AND(F67&lt;&gt;0,16216&lt;&gt;0),IF(100*16216/(F67-0)&lt;0.005,"*",100*16216/(F67-0)),0)</f>
        <v>0.5837469527516311</v>
      </c>
    </row>
    <row r="19" spans="1:7" ht="12.75">
      <c r="A19" s="11" t="s">
        <v>101</v>
      </c>
      <c r="B19" s="17">
        <v>159426</v>
      </c>
      <c r="C19" s="17">
        <v>0</v>
      </c>
      <c r="D19" s="17">
        <v>156829</v>
      </c>
      <c r="E19" s="17">
        <v>156829</v>
      </c>
      <c r="F19" s="17">
        <v>154530</v>
      </c>
      <c r="G19" s="18">
        <f>IF(AND(F67&lt;&gt;0,154530&lt;&gt;0),IF(100*154530/(F67-0)&lt;0.005,"*",100*154530/(F67-0)),0)</f>
        <v>5.562803194913021</v>
      </c>
    </row>
    <row r="20" spans="1:7" ht="12.75">
      <c r="A20" s="11" t="s">
        <v>102</v>
      </c>
      <c r="B20" s="17">
        <v>45482</v>
      </c>
      <c r="C20" s="17">
        <v>0</v>
      </c>
      <c r="D20" s="17">
        <v>45885</v>
      </c>
      <c r="E20" s="17">
        <v>45885</v>
      </c>
      <c r="F20" s="17">
        <v>48261</v>
      </c>
      <c r="G20" s="18">
        <f>IF(AND(F67&lt;&gt;0,48261&lt;&gt;0),IF(100*48261/(F67-0)&lt;0.005,"*",100*48261/(F67-0)),0)</f>
        <v>1.7373095514767185</v>
      </c>
    </row>
    <row r="21" spans="1:7" ht="12.75">
      <c r="A21" s="11" t="s">
        <v>103</v>
      </c>
      <c r="B21" s="17">
        <v>27475</v>
      </c>
      <c r="C21" s="17">
        <v>0</v>
      </c>
      <c r="D21" s="17">
        <v>26599</v>
      </c>
      <c r="E21" s="17">
        <v>26599</v>
      </c>
      <c r="F21" s="17">
        <v>27067</v>
      </c>
      <c r="G21" s="18">
        <f>IF(AND(F67&lt;&gt;0,27067&lt;&gt;0),IF(100*27067/(F67-0)&lt;0.005,"*",100*27067/(F67-0)),0)</f>
        <v>0.9743635156714602</v>
      </c>
    </row>
    <row r="22" spans="1:7" ht="12.75">
      <c r="A22" s="11" t="s">
        <v>104</v>
      </c>
      <c r="B22" s="17">
        <v>19846</v>
      </c>
      <c r="C22" s="17">
        <v>0</v>
      </c>
      <c r="D22" s="17">
        <v>19129</v>
      </c>
      <c r="E22" s="17">
        <v>19129</v>
      </c>
      <c r="F22" s="17">
        <v>19380</v>
      </c>
      <c r="G22" s="18">
        <f>IF(AND(F67&lt;&gt;0,19380&lt;&gt;0),IF(100*19380/(F67-0)&lt;0.005,"*",100*19380/(F67-0)),0)</f>
        <v>0.6976452851706099</v>
      </c>
    </row>
    <row r="23" spans="1:7" ht="12.75">
      <c r="A23" s="11" t="s">
        <v>105</v>
      </c>
      <c r="B23" s="17">
        <v>29433</v>
      </c>
      <c r="C23" s="17">
        <v>0</v>
      </c>
      <c r="D23" s="17">
        <v>29905</v>
      </c>
      <c r="E23" s="17">
        <v>29905</v>
      </c>
      <c r="F23" s="17">
        <v>30414</v>
      </c>
      <c r="G23" s="18">
        <f>IF(AND(F67&lt;&gt;0,30414&lt;&gt;0),IF(100*30414/(F67-0)&lt;0.005,"*",100*30414/(F67-0)),0)</f>
        <v>1.0948495202878705</v>
      </c>
    </row>
    <row r="24" spans="1:7" ht="12.75">
      <c r="A24" s="11" t="s">
        <v>106</v>
      </c>
      <c r="B24" s="17">
        <v>29291</v>
      </c>
      <c r="C24" s="17">
        <v>0</v>
      </c>
      <c r="D24" s="17">
        <v>29200</v>
      </c>
      <c r="E24" s="17">
        <v>29200</v>
      </c>
      <c r="F24" s="17">
        <v>30049</v>
      </c>
      <c r="G24" s="18">
        <f>IF(AND(F67&lt;&gt;0,30049&lt;&gt;0),IF(100*30049/(F67-0)&lt;0.005,"*",100*30049/(F67-0)),0)</f>
        <v>1.0817101741017368</v>
      </c>
    </row>
    <row r="25" spans="1:7" ht="12.75">
      <c r="A25" s="11" t="s">
        <v>107</v>
      </c>
      <c r="B25" s="17">
        <v>15878</v>
      </c>
      <c r="C25" s="17">
        <v>0</v>
      </c>
      <c r="D25" s="17">
        <v>15627</v>
      </c>
      <c r="E25" s="17">
        <v>15627</v>
      </c>
      <c r="F25" s="17">
        <v>16817</v>
      </c>
      <c r="G25" s="18">
        <f>IF(AND(F67&lt;&gt;0,16817&lt;&gt;0),IF(100*16817/(F67-0)&lt;0.005,"*",100*16817/(F67-0)),0)</f>
        <v>0.6053818761978403</v>
      </c>
    </row>
    <row r="26" spans="1:7" ht="12.75">
      <c r="A26" s="11" t="s">
        <v>108</v>
      </c>
      <c r="B26" s="17">
        <v>59562</v>
      </c>
      <c r="C26" s="17">
        <v>0</v>
      </c>
      <c r="D26" s="17">
        <v>58039</v>
      </c>
      <c r="E26" s="17">
        <v>58039</v>
      </c>
      <c r="F26" s="17">
        <v>57664</v>
      </c>
      <c r="G26" s="18">
        <f>IF(AND(F67&lt;&gt;0,57664&lt;&gt;0),IF(100*57664/(F67-0)&lt;0.005,"*",100*57664/(F67-0)),0)</f>
        <v>2.075800708156762</v>
      </c>
    </row>
    <row r="27" spans="1:7" ht="12.75">
      <c r="A27" s="11" t="s">
        <v>109</v>
      </c>
      <c r="B27" s="17">
        <v>68417</v>
      </c>
      <c r="C27" s="17">
        <v>0</v>
      </c>
      <c r="D27" s="17">
        <v>67005</v>
      </c>
      <c r="E27" s="17">
        <v>67005</v>
      </c>
      <c r="F27" s="17">
        <v>70891</v>
      </c>
      <c r="G27" s="18">
        <f>IF(AND(F67&lt;&gt;0,70891&lt;&gt;0),IF(100*70891/(F67-0)&lt;0.005,"*",100*70891/(F67-0)),0)</f>
        <v>2.5519490150170125</v>
      </c>
    </row>
    <row r="28" spans="1:7" ht="12.75">
      <c r="A28" s="11" t="s">
        <v>110</v>
      </c>
      <c r="B28" s="17">
        <v>140758</v>
      </c>
      <c r="C28" s="17">
        <v>0</v>
      </c>
      <c r="D28" s="17">
        <v>124660</v>
      </c>
      <c r="E28" s="17">
        <v>124660</v>
      </c>
      <c r="F28" s="17">
        <v>123693</v>
      </c>
      <c r="G28" s="18">
        <f>IF(AND(F67&lt;&gt;0,123693&lt;&gt;0),IF(100*123693/(F67-0)&lt;0.005,"*",100*123693/(F67-0)),0)</f>
        <v>4.452726432332727</v>
      </c>
    </row>
    <row r="29" spans="1:7" ht="12.75">
      <c r="A29" s="11" t="s">
        <v>111</v>
      </c>
      <c r="B29" s="17">
        <v>45456</v>
      </c>
      <c r="C29" s="17">
        <v>0</v>
      </c>
      <c r="D29" s="17">
        <v>46716</v>
      </c>
      <c r="E29" s="17">
        <v>46716</v>
      </c>
      <c r="F29" s="17">
        <v>47241</v>
      </c>
      <c r="G29" s="18">
        <f>IF(AND(F67&lt;&gt;0,47241&lt;&gt;0),IF(100*47241/(F67-0)&lt;0.005,"*",100*47241/(F67-0)),0)</f>
        <v>1.7005913785730022</v>
      </c>
    </row>
    <row r="30" spans="1:7" ht="12.75">
      <c r="A30" s="11" t="s">
        <v>112</v>
      </c>
      <c r="B30" s="17">
        <v>22809</v>
      </c>
      <c r="C30" s="17">
        <v>0</v>
      </c>
      <c r="D30" s="17">
        <v>21432</v>
      </c>
      <c r="E30" s="17">
        <v>21432</v>
      </c>
      <c r="F30" s="17">
        <v>21771</v>
      </c>
      <c r="G30" s="18">
        <f>IF(AND(F67&lt;&gt;0,21771&lt;&gt;0),IF(100*21771/(F67-0)&lt;0.005,"*",100*21771/(F67-0)),0)</f>
        <v>0.7837170022419684</v>
      </c>
    </row>
    <row r="31" spans="1:7" ht="12.75">
      <c r="A31" s="11" t="s">
        <v>113</v>
      </c>
      <c r="B31" s="17">
        <v>39334</v>
      </c>
      <c r="C31" s="17">
        <v>0</v>
      </c>
      <c r="D31" s="17">
        <v>38451</v>
      </c>
      <c r="E31" s="17">
        <v>38451</v>
      </c>
      <c r="F31" s="17">
        <v>38514</v>
      </c>
      <c r="G31" s="18">
        <f>IF(AND(F67&lt;&gt;0,38514&lt;&gt;0),IF(100*38514/(F67-0)&lt;0.005,"*",100*38514/(F67-0)),0)</f>
        <v>1.386435010993853</v>
      </c>
    </row>
    <row r="32" spans="1:7" ht="12.75">
      <c r="A32" s="11" t="s">
        <v>114</v>
      </c>
      <c r="B32" s="17">
        <v>10911</v>
      </c>
      <c r="C32" s="17">
        <v>0</v>
      </c>
      <c r="D32" s="17">
        <v>9460</v>
      </c>
      <c r="E32" s="17">
        <v>9460</v>
      </c>
      <c r="F32" s="17">
        <v>9610</v>
      </c>
      <c r="G32" s="18">
        <f>IF(AND(F67&lt;&gt;0,9610&lt;&gt;0),IF(100*9610/(F67-0)&lt;0.005,"*",100*9610/(F67-0)),0)</f>
        <v>0.34594278588697425</v>
      </c>
    </row>
    <row r="33" spans="1:7" ht="12.75">
      <c r="A33" s="11" t="s">
        <v>115</v>
      </c>
      <c r="B33" s="17">
        <v>15445</v>
      </c>
      <c r="C33" s="17">
        <v>0</v>
      </c>
      <c r="D33" s="17">
        <v>15895</v>
      </c>
      <c r="E33" s="17">
        <v>15895</v>
      </c>
      <c r="F33" s="17">
        <v>15979</v>
      </c>
      <c r="G33" s="18">
        <f>IF(AND(F67&lt;&gt;0,15979&lt;&gt;0),IF(100*15979/(F67-0)&lt;0.005,"*",100*15979/(F67-0)),0)</f>
        <v>0.5752153772828265</v>
      </c>
    </row>
    <row r="34" spans="1:7" ht="12.75">
      <c r="A34" s="11" t="s">
        <v>116</v>
      </c>
      <c r="B34" s="17">
        <v>28775</v>
      </c>
      <c r="C34" s="17">
        <v>0</v>
      </c>
      <c r="D34" s="17">
        <v>29492</v>
      </c>
      <c r="E34" s="17">
        <v>29492</v>
      </c>
      <c r="F34" s="17">
        <v>30868</v>
      </c>
      <c r="G34" s="18">
        <f>IF(AND(F67&lt;&gt;0,30868&lt;&gt;0),IF(100*30868/(F67-0)&lt;0.005,"*",100*30868/(F67-0)),0)</f>
        <v>1.1111927070508971</v>
      </c>
    </row>
    <row r="35" spans="1:7" ht="12.75">
      <c r="A35" s="11" t="s">
        <v>117</v>
      </c>
      <c r="B35" s="17">
        <v>14103</v>
      </c>
      <c r="C35" s="17">
        <v>0</v>
      </c>
      <c r="D35" s="17">
        <v>13812</v>
      </c>
      <c r="E35" s="17">
        <v>13812</v>
      </c>
      <c r="F35" s="17">
        <v>14165</v>
      </c>
      <c r="G35" s="18">
        <f>IF(AND(F67&lt;&gt;0,14165&lt;&gt;0),IF(100*14165/(F67-0)&lt;0.005,"*",100*14165/(F67-0)),0)</f>
        <v>0.509914626648178</v>
      </c>
    </row>
    <row r="36" spans="1:7" ht="12.75">
      <c r="A36" s="11" t="s">
        <v>118</v>
      </c>
      <c r="B36" s="17">
        <v>111635</v>
      </c>
      <c r="C36" s="17">
        <v>0</v>
      </c>
      <c r="D36" s="17">
        <v>113414</v>
      </c>
      <c r="E36" s="17">
        <v>113414</v>
      </c>
      <c r="F36" s="17">
        <v>112838</v>
      </c>
      <c r="G36" s="18">
        <f>IF(AND(F67&lt;&gt;0,112838&lt;&gt;0),IF(100*112838/(F67-0)&lt;0.005,"*",100*112838/(F67-0)),0)</f>
        <v>4.061965876577982</v>
      </c>
    </row>
    <row r="37" spans="1:7" ht="12.75">
      <c r="A37" s="11" t="s">
        <v>119</v>
      </c>
      <c r="B37" s="17">
        <v>14760</v>
      </c>
      <c r="C37" s="17">
        <v>0</v>
      </c>
      <c r="D37" s="17">
        <v>14607</v>
      </c>
      <c r="E37" s="17">
        <v>14607</v>
      </c>
      <c r="F37" s="17">
        <v>14664</v>
      </c>
      <c r="G37" s="18">
        <f>IF(AND(F67&lt;&gt;0,14664&lt;&gt;0),IF(100*14664/(F67-0)&lt;0.005,"*",100*14664/(F67-0)),0)</f>
        <v>0.5278777328040156</v>
      </c>
    </row>
    <row r="38" spans="1:7" ht="12.75">
      <c r="A38" s="11" t="s">
        <v>120</v>
      </c>
      <c r="B38" s="17">
        <v>206257</v>
      </c>
      <c r="C38" s="17">
        <v>0</v>
      </c>
      <c r="D38" s="17">
        <v>209559</v>
      </c>
      <c r="E38" s="17">
        <v>209559</v>
      </c>
      <c r="F38" s="17">
        <v>222664</v>
      </c>
      <c r="G38" s="18">
        <f>IF(AND(F67&lt;&gt;0,222664&lt;&gt;0),IF(100*222664/(F67-0)&lt;0.005,"*",100*222664/(F67-0)),0)</f>
        <v>8.015505148463813</v>
      </c>
    </row>
    <row r="39" spans="1:7" ht="12.75">
      <c r="A39" s="11" t="s">
        <v>121</v>
      </c>
      <c r="B39" s="17">
        <v>62478</v>
      </c>
      <c r="C39" s="17">
        <v>0</v>
      </c>
      <c r="D39" s="17">
        <v>63307</v>
      </c>
      <c r="E39" s="17">
        <v>63307</v>
      </c>
      <c r="F39" s="17">
        <v>65972</v>
      </c>
      <c r="G39" s="18">
        <f>IF(AND(F67&lt;&gt;0,65972&lt;&gt;0),IF(100*65972/(F67-0)&lt;0.005,"*",100*65972/(F67-0)),0)</f>
        <v>2.3748738262784044</v>
      </c>
    </row>
    <row r="40" spans="1:7" ht="12.75">
      <c r="A40" s="11" t="s">
        <v>122</v>
      </c>
      <c r="B40" s="17">
        <v>8026</v>
      </c>
      <c r="C40" s="17">
        <v>0</v>
      </c>
      <c r="D40" s="17">
        <v>6905</v>
      </c>
      <c r="E40" s="17">
        <v>6905</v>
      </c>
      <c r="F40" s="17">
        <v>6804</v>
      </c>
      <c r="G40" s="18">
        <f>IF(AND(F67&lt;&gt;0,6804&lt;&gt;0),IF(100*6804/(F67-0)&lt;0.005,"*",100*6804/(F67-0)),0)</f>
        <v>0.24493181219302526</v>
      </c>
    </row>
    <row r="41" spans="1:7" ht="12.75">
      <c r="A41" s="11" t="s">
        <v>123</v>
      </c>
      <c r="B41" s="17">
        <v>85927</v>
      </c>
      <c r="C41" s="17">
        <v>0</v>
      </c>
      <c r="D41" s="17">
        <v>86457</v>
      </c>
      <c r="E41" s="17">
        <v>86457</v>
      </c>
      <c r="F41" s="17">
        <v>86074</v>
      </c>
      <c r="G41" s="18">
        <f>IF(AND(F67&lt;&gt;0,86074&lt;&gt;0),IF(100*86074/(F67-0)&lt;0.005,"*",100*86074/(F67-0)),0)</f>
        <v>3.0985098181514488</v>
      </c>
    </row>
    <row r="42" spans="1:7" ht="12.75">
      <c r="A42" s="11" t="s">
        <v>124</v>
      </c>
      <c r="B42" s="17">
        <v>22002</v>
      </c>
      <c r="C42" s="17">
        <v>0</v>
      </c>
      <c r="D42" s="17">
        <v>22176</v>
      </c>
      <c r="E42" s="17">
        <v>22176</v>
      </c>
      <c r="F42" s="17">
        <v>21851</v>
      </c>
      <c r="G42" s="18">
        <f>IF(AND(F67&lt;&gt;0,21851&lt;&gt;0),IF(100*21851/(F67-0)&lt;0.005,"*",100*21851/(F67-0)),0)</f>
        <v>0.7865968589402992</v>
      </c>
    </row>
    <row r="43" spans="1:7" ht="12.75">
      <c r="A43" s="11" t="s">
        <v>125</v>
      </c>
      <c r="B43" s="17">
        <v>56979</v>
      </c>
      <c r="C43" s="17">
        <v>0</v>
      </c>
      <c r="D43" s="17">
        <v>58118</v>
      </c>
      <c r="E43" s="17">
        <v>58118</v>
      </c>
      <c r="F43" s="17">
        <v>60772</v>
      </c>
      <c r="G43" s="18">
        <f>IF(AND(F67&lt;&gt;0,60772&lt;&gt;0),IF(100*60772/(F67-0)&lt;0.005,"*",100*60772/(F67-0)),0)</f>
        <v>2.1876831408869095</v>
      </c>
    </row>
    <row r="44" spans="1:7" ht="12.75">
      <c r="A44" s="11" t="s">
        <v>126</v>
      </c>
      <c r="B44" s="17">
        <v>137390</v>
      </c>
      <c r="C44" s="17">
        <v>0</v>
      </c>
      <c r="D44" s="17">
        <v>132514</v>
      </c>
      <c r="E44" s="17">
        <v>132514</v>
      </c>
      <c r="F44" s="17">
        <v>130946</v>
      </c>
      <c r="G44" s="18">
        <f>IF(AND(F67&lt;&gt;0,130946&lt;&gt;0),IF(100*130946/(F67-0)&lt;0.005,"*",100*130946/(F67-0)),0)</f>
        <v>4.713821440245133</v>
      </c>
    </row>
    <row r="45" spans="1:7" ht="12.75">
      <c r="A45" s="11" t="s">
        <v>127</v>
      </c>
      <c r="B45" s="17">
        <v>15745</v>
      </c>
      <c r="C45" s="17">
        <v>0</v>
      </c>
      <c r="D45" s="17">
        <v>13927</v>
      </c>
      <c r="E45" s="17">
        <v>13927</v>
      </c>
      <c r="F45" s="17">
        <v>14531</v>
      </c>
      <c r="G45" s="18">
        <f>IF(AND(F67&lt;&gt;0,14531&lt;&gt;0),IF(100*14531/(F67-0)&lt;0.005,"*",100*14531/(F67-0)),0)</f>
        <v>0.5230899710430409</v>
      </c>
    </row>
    <row r="46" spans="1:7" ht="12.75">
      <c r="A46" s="11" t="s">
        <v>128</v>
      </c>
      <c r="B46" s="17">
        <v>30118</v>
      </c>
      <c r="C46" s="17">
        <v>0</v>
      </c>
      <c r="D46" s="17">
        <v>30680</v>
      </c>
      <c r="E46" s="17">
        <v>30680</v>
      </c>
      <c r="F46" s="17">
        <v>31406</v>
      </c>
      <c r="G46" s="18">
        <f>IF(AND(F67&lt;&gt;0,31406&lt;&gt;0),IF(100*31406/(F67-0)&lt;0.005,"*",100*31406/(F67-0)),0)</f>
        <v>1.130559743347171</v>
      </c>
    </row>
    <row r="47" spans="1:7" ht="12.75">
      <c r="A47" s="11" t="s">
        <v>129</v>
      </c>
      <c r="B47" s="17">
        <v>5982</v>
      </c>
      <c r="C47" s="17">
        <v>0</v>
      </c>
      <c r="D47" s="17">
        <v>5800</v>
      </c>
      <c r="E47" s="17">
        <v>5800</v>
      </c>
      <c r="F47" s="17">
        <v>5952</v>
      </c>
      <c r="G47" s="18">
        <f>IF(AND(F67&lt;&gt;0,5952&lt;&gt;0),IF(100*5952/(F67-0)&lt;0.005,"*",100*5952/(F67-0)),0)</f>
        <v>0.2142613383558034</v>
      </c>
    </row>
    <row r="48" spans="1:7" ht="12.75">
      <c r="A48" s="11" t="s">
        <v>130</v>
      </c>
      <c r="B48" s="17">
        <v>36566</v>
      </c>
      <c r="C48" s="17">
        <v>0</v>
      </c>
      <c r="D48" s="17">
        <v>37647</v>
      </c>
      <c r="E48" s="17">
        <v>37647</v>
      </c>
      <c r="F48" s="17">
        <v>38940</v>
      </c>
      <c r="G48" s="18">
        <f>IF(AND(F67&lt;&gt;0,38940&lt;&gt;0),IF(100*38940/(F67-0)&lt;0.005,"*",100*38940/(F67-0)),0)</f>
        <v>1.4017702479124639</v>
      </c>
    </row>
    <row r="49" spans="1:7" ht="12.75">
      <c r="A49" s="11" t="s">
        <v>131</v>
      </c>
      <c r="B49" s="17">
        <v>132873</v>
      </c>
      <c r="C49" s="17">
        <v>0</v>
      </c>
      <c r="D49" s="17">
        <v>130523</v>
      </c>
      <c r="E49" s="17">
        <v>130523</v>
      </c>
      <c r="F49" s="17">
        <v>128609</v>
      </c>
      <c r="G49" s="18">
        <f>IF(AND(F67&lt;&gt;0,128609&lt;&gt;0),IF(100*128609/(F67-0)&lt;0.005,"*",100*128609/(F67-0)),0)</f>
        <v>4.629693626445148</v>
      </c>
    </row>
    <row r="50" spans="1:7" ht="12.75">
      <c r="A50" s="11" t="s">
        <v>132</v>
      </c>
      <c r="B50" s="17">
        <v>27795</v>
      </c>
      <c r="C50" s="17">
        <v>0</v>
      </c>
      <c r="D50" s="17">
        <v>28235</v>
      </c>
      <c r="E50" s="17">
        <v>28235</v>
      </c>
      <c r="F50" s="17">
        <v>29043</v>
      </c>
      <c r="G50" s="18">
        <f>IF(AND(F67&lt;&gt;0,29043&lt;&gt;0),IF(100*29043/(F67-0)&lt;0.005,"*",100*29043/(F67-0)),0)</f>
        <v>1.0454959761202283</v>
      </c>
    </row>
    <row r="51" spans="1:7" ht="12.75">
      <c r="A51" s="11" t="s">
        <v>133</v>
      </c>
      <c r="B51" s="17">
        <v>9392</v>
      </c>
      <c r="C51" s="17">
        <v>0</v>
      </c>
      <c r="D51" s="17">
        <v>9365</v>
      </c>
      <c r="E51" s="17">
        <v>9365</v>
      </c>
      <c r="F51" s="17">
        <v>10185</v>
      </c>
      <c r="G51" s="18">
        <f>IF(AND(F67&lt;&gt;0,10185&lt;&gt;0),IF(100*10185/(F67-0)&lt;0.005,"*",100*10185/(F67-0)),0)</f>
        <v>0.3666417559062261</v>
      </c>
    </row>
    <row r="52" spans="1:7" ht="12.75">
      <c r="A52" s="11" t="s">
        <v>134</v>
      </c>
      <c r="B52" s="17">
        <v>44577</v>
      </c>
      <c r="C52" s="17">
        <v>0</v>
      </c>
      <c r="D52" s="17">
        <v>43755</v>
      </c>
      <c r="E52" s="17">
        <v>43755</v>
      </c>
      <c r="F52" s="17">
        <v>43598</v>
      </c>
      <c r="G52" s="18">
        <f>IF(AND(F67&lt;&gt;0,43598&lt;&gt;0),IF(100*43598/(F67-0)&lt;0.005,"*",100*43598/(F67-0)),0)</f>
        <v>1.5694499041727683</v>
      </c>
    </row>
    <row r="53" spans="1:7" ht="12.75">
      <c r="A53" s="11" t="s">
        <v>135</v>
      </c>
      <c r="B53" s="17">
        <v>92444</v>
      </c>
      <c r="C53" s="17">
        <v>0</v>
      </c>
      <c r="D53" s="17">
        <v>95422</v>
      </c>
      <c r="E53" s="17">
        <v>95422</v>
      </c>
      <c r="F53" s="17">
        <v>100040</v>
      </c>
      <c r="G53" s="18">
        <f>IF(AND(F67&lt;&gt;0,100040&lt;&gt;0),IF(100*100040/(F67-0)&lt;0.005,"*",100*100040/(F67-0)),0)</f>
        <v>3.601260801262529</v>
      </c>
    </row>
    <row r="54" spans="1:7" ht="12.75">
      <c r="A54" s="11" t="s">
        <v>136</v>
      </c>
      <c r="B54" s="17">
        <v>14748</v>
      </c>
      <c r="C54" s="17">
        <v>0</v>
      </c>
      <c r="D54" s="17">
        <v>13099</v>
      </c>
      <c r="E54" s="17">
        <v>13099</v>
      </c>
      <c r="F54" s="17">
        <v>13051</v>
      </c>
      <c r="G54" s="18">
        <f>IF(AND(F67&lt;&gt;0,13051&lt;&gt;0),IF(100*13051/(F67-0)&lt;0.005,"*",100*13051/(F67-0)),0)</f>
        <v>0.4698126221239231</v>
      </c>
    </row>
    <row r="55" spans="1:7" ht="12.75">
      <c r="A55" s="11" t="s">
        <v>137</v>
      </c>
      <c r="B55" s="17">
        <v>61250</v>
      </c>
      <c r="C55" s="17">
        <v>0</v>
      </c>
      <c r="D55" s="17">
        <v>62810</v>
      </c>
      <c r="E55" s="17">
        <v>62810</v>
      </c>
      <c r="F55" s="17">
        <v>64111</v>
      </c>
      <c r="G55" s="18">
        <f>IF(AND(F67&lt;&gt;0,64111&lt;&gt;0),IF(100*64111/(F67-0)&lt;0.005,"*",100*64111/(F67-0)),0)</f>
        <v>2.3078811598334865</v>
      </c>
    </row>
    <row r="56" spans="1:7" ht="12.75">
      <c r="A56" s="11" t="s">
        <v>138</v>
      </c>
      <c r="B56" s="17">
        <v>8019</v>
      </c>
      <c r="C56" s="17">
        <v>0</v>
      </c>
      <c r="D56" s="17">
        <v>8416</v>
      </c>
      <c r="E56" s="17">
        <v>8416</v>
      </c>
      <c r="F56" s="17">
        <v>8292</v>
      </c>
      <c r="G56" s="18">
        <f>IF(AND(F67&lt;&gt;0,8292&lt;&gt;0),IF(100*8292/(F67-0)&lt;0.005,"*",100*8292/(F67-0)),0)</f>
        <v>0.29849714678197614</v>
      </c>
    </row>
    <row r="57" spans="1:7" ht="12.75">
      <c r="A57" s="11" t="s">
        <v>139</v>
      </c>
      <c r="B57" s="17">
        <v>0</v>
      </c>
      <c r="C57" s="17">
        <v>0</v>
      </c>
      <c r="D57" s="17">
        <v>0</v>
      </c>
      <c r="E57" s="17">
        <v>0</v>
      </c>
      <c r="F57" s="17">
        <v>0</v>
      </c>
      <c r="G57" s="18">
        <f>IF(AND(F67&lt;&gt;0,0&lt;&gt;0),IF(100*0/(F67-0)&lt;0.005,"*",100*0/(F67-0)),0)</f>
        <v>0</v>
      </c>
    </row>
    <row r="58" spans="1:7" ht="12.75">
      <c r="A58" s="11" t="s">
        <v>140</v>
      </c>
      <c r="B58" s="17">
        <v>0</v>
      </c>
      <c r="C58" s="17">
        <v>0</v>
      </c>
      <c r="D58" s="17">
        <v>0</v>
      </c>
      <c r="E58" s="17">
        <v>0</v>
      </c>
      <c r="F58" s="17">
        <v>0</v>
      </c>
      <c r="G58" s="18">
        <f>IF(AND(F67&lt;&gt;0,0&lt;&gt;0),IF(100*0/(F67-0)&lt;0.005,"*",100*0/(F67-0)),0)</f>
        <v>0</v>
      </c>
    </row>
    <row r="59" spans="1:7" ht="12.75">
      <c r="A59" s="11" t="s">
        <v>141</v>
      </c>
      <c r="B59" s="17">
        <v>0</v>
      </c>
      <c r="C59" s="17">
        <v>0</v>
      </c>
      <c r="D59" s="17">
        <v>0</v>
      </c>
      <c r="E59" s="17">
        <v>0</v>
      </c>
      <c r="F59" s="17">
        <v>0</v>
      </c>
      <c r="G59" s="18">
        <f>IF(AND(F67&lt;&gt;0,0&lt;&gt;0),IF(100*0/(F67-0)&lt;0.005,"*",100*0/(F67-0)),0)</f>
        <v>0</v>
      </c>
    </row>
    <row r="60" spans="1:7" ht="12.75">
      <c r="A60" s="11" t="s">
        <v>142</v>
      </c>
      <c r="B60" s="17">
        <v>17351</v>
      </c>
      <c r="C60" s="17">
        <v>0</v>
      </c>
      <c r="D60" s="17">
        <v>16275</v>
      </c>
      <c r="E60" s="17">
        <v>16275</v>
      </c>
      <c r="F60" s="17">
        <v>16197</v>
      </c>
      <c r="G60" s="18">
        <f>IF(AND(F67&lt;&gt;0,16197&lt;&gt;0),IF(100*16197/(F67-0)&lt;0.005,"*",100*16197/(F67-0)),0)</f>
        <v>0.5830629867857775</v>
      </c>
    </row>
    <row r="61" spans="1:7" ht="12.75">
      <c r="A61" s="11" t="s">
        <v>143</v>
      </c>
      <c r="B61" s="17">
        <v>0</v>
      </c>
      <c r="C61" s="17">
        <v>0</v>
      </c>
      <c r="D61" s="17">
        <v>0</v>
      </c>
      <c r="E61" s="17">
        <v>0</v>
      </c>
      <c r="F61" s="17">
        <v>0</v>
      </c>
      <c r="G61" s="18">
        <f>IF(AND(F67&lt;&gt;0,0&lt;&gt;0),IF(100*0/(F67-0)&lt;0.005,"*",100*0/(F67-0)),0)</f>
        <v>0</v>
      </c>
    </row>
    <row r="62" spans="1:7" ht="12.75">
      <c r="A62" s="11" t="s">
        <v>144</v>
      </c>
      <c r="B62" s="17">
        <v>1585</v>
      </c>
      <c r="C62" s="17">
        <v>0</v>
      </c>
      <c r="D62" s="17">
        <v>1692</v>
      </c>
      <c r="E62" s="17">
        <v>1692</v>
      </c>
      <c r="F62" s="17">
        <v>1734</v>
      </c>
      <c r="G62" s="18">
        <f>IF(AND(F67&lt;&gt;0,1734&lt;&gt;0),IF(100*1734/(F67-0)&lt;0.005,"*",100*1734/(F67-0)),0)</f>
        <v>0.06242089393631773</v>
      </c>
    </row>
    <row r="63" spans="1:7" ht="12.75">
      <c r="A63" s="11" t="s">
        <v>145</v>
      </c>
      <c r="B63" s="17">
        <v>0</v>
      </c>
      <c r="C63" s="17">
        <v>0</v>
      </c>
      <c r="D63" s="17">
        <v>0</v>
      </c>
      <c r="E63" s="17">
        <v>0</v>
      </c>
      <c r="F63" s="17">
        <v>0</v>
      </c>
      <c r="G63" s="18">
        <f>IF(AND(F67&lt;&gt;0,0&lt;&gt;0),IF(100*0/(F67-0)&lt;0.005,"*",100*0/(F67-0)),0)</f>
        <v>0</v>
      </c>
    </row>
    <row r="64" spans="1:7" ht="12.75">
      <c r="A64" s="11" t="s">
        <v>146</v>
      </c>
      <c r="B64" s="17">
        <v>0</v>
      </c>
      <c r="C64" s="17">
        <v>0</v>
      </c>
      <c r="D64" s="17">
        <v>0</v>
      </c>
      <c r="E64" s="17">
        <v>0</v>
      </c>
      <c r="F64" s="17">
        <v>0</v>
      </c>
      <c r="G64" s="18">
        <v>0</v>
      </c>
    </row>
    <row r="65" spans="1:7" ht="12.75">
      <c r="A65" s="11" t="s">
        <v>357</v>
      </c>
      <c r="B65" s="17">
        <v>1797</v>
      </c>
      <c r="C65" s="17">
        <v>0</v>
      </c>
      <c r="D65" s="17">
        <v>1797</v>
      </c>
      <c r="E65" s="17">
        <v>1797</v>
      </c>
      <c r="F65" s="17">
        <v>1797</v>
      </c>
      <c r="G65" s="18">
        <f>IF(AND(F67&lt;&gt;0,1797&lt;&gt;0),IF(100*1797/(F67-0)&lt;0.005,"*",100*1797/(F67-0)),0)</f>
        <v>0.06468878108625314</v>
      </c>
    </row>
    <row r="66" spans="1:7" ht="12.75">
      <c r="A66" s="11" t="s">
        <v>358</v>
      </c>
      <c r="B66" s="17">
        <v>79</v>
      </c>
      <c r="C66" s="17">
        <v>0</v>
      </c>
      <c r="D66" s="17">
        <v>79</v>
      </c>
      <c r="E66" s="17">
        <v>79</v>
      </c>
      <c r="F66" s="17">
        <v>79</v>
      </c>
      <c r="G66" s="18" t="str">
        <f>IF(AND(F67&lt;&gt;0,79&lt;&gt;0),IF(100*79/(F67-0)&lt;0.005,"*",100*79/(F67-0)),0)</f>
        <v>*</v>
      </c>
    </row>
    <row r="67" spans="1:7" ht="15" customHeight="1">
      <c r="A67" s="19" t="s">
        <v>87</v>
      </c>
      <c r="B67" s="20">
        <f>31415+25580+35152+21289+376956+37052+54286+10387+11819+93474+62487+15585+16927+159426+45482+27475+19846+29433+29291+15878+59562+68417+140758+45456+22809+39334+10911+15445+28775+14103+111635+14760+206257+62478+8026+85927+22002+56979+137390+15745+30118+5982+36566+132873+27795+9392+44577+92444+14748+61250+8019+0+0+0+17351+0+1585+0+0+1797+79+0</f>
        <v>2770585</v>
      </c>
      <c r="C67" s="20">
        <f>0+0+0+0+0+0+0+0+0+0+0+0+0+0+0+0+0+0+0+0+0+0+0+0+0+0+0+0+0+0+0+0+0+0+0+0+0+0+0+0+0+0+0+0+0+0+0+0+0+0+0+0+0+0+0+0+0+0+0+0+0+0</f>
        <v>0</v>
      </c>
      <c r="D67" s="20">
        <f>32488+25305+35352+22030+375286+37852+51591+9729+11338+95928+62149+15703+16088+156829+45885+26599+19129+29905+29200+15627+58039+67005+124660+46716+21432+38451+9460+15895+29492+13812+113414+14607+209559+63307+6905+86457+22176+58118+132514+13927+30680+5800+37647+130523+28235+9365+43755+95422+13099+62810+8416+0+0+0+16275+0+1692+0+0+1797+79+0</f>
        <v>2745554</v>
      </c>
      <c r="E67" s="20">
        <f>SUM(C67:D67)</f>
        <v>2745554</v>
      </c>
      <c r="F67" s="20">
        <f>33118+25066+35119+22188+373284+37297+50955+9817+11758+97891+62351+15792+16216+154530+48261+27067+19380+30414+30049+16817+57664+70891+123693+47241+21771+38514+9610+15979+30868+14165+112838+14664+222664+65972+6804+86074+21851+60772+130946+14531+31406+5952+38940+128609+29043+10185+43598+100040+13051+64111+8292+0+0+0+16197+0+1734+0+0+1797+79+0</f>
        <v>2777916</v>
      </c>
      <c r="G67" s="21" t="s">
        <v>147</v>
      </c>
    </row>
    <row r="68" spans="1:7" ht="15" customHeight="1">
      <c r="A68" s="33" t="s">
        <v>148</v>
      </c>
      <c r="B68" s="33"/>
      <c r="C68" s="33"/>
      <c r="D68" s="33"/>
      <c r="E68" s="33"/>
      <c r="F68" s="33"/>
      <c r="G68" s="33"/>
    </row>
    <row r="69" spans="1:7" ht="15" customHeight="1">
      <c r="A69" s="26" t="s">
        <v>149</v>
      </c>
      <c r="B69" s="26"/>
      <c r="C69" s="26"/>
      <c r="D69" s="26"/>
      <c r="E69" s="26"/>
      <c r="F69" s="26"/>
      <c r="G69" s="26"/>
    </row>
  </sheetData>
  <sheetProtection/>
  <mergeCells count="6">
    <mergeCell ref="A69:G69"/>
    <mergeCell ref="A4:A5"/>
    <mergeCell ref="B4:B5"/>
    <mergeCell ref="F4:F5"/>
    <mergeCell ref="G4:G5"/>
    <mergeCell ref="A68:G68"/>
  </mergeCells>
  <printOptions/>
  <pageMargins left="0.7" right="0.7" top="0.75" bottom="0.75" header="0.3" footer="0.3"/>
  <pageSetup fitToHeight="1" fitToWidth="1" orientation="portrait" paperSize="9"/>
</worksheet>
</file>

<file path=xl/worksheets/sheet32.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359</v>
      </c>
      <c r="B1" s="10"/>
      <c r="C1" s="10"/>
      <c r="D1" s="10"/>
      <c r="E1" s="10"/>
      <c r="F1" s="10"/>
      <c r="G1" s="12" t="s">
        <v>360</v>
      </c>
    </row>
    <row r="2" spans="1:7" ht="12.75">
      <c r="A2" s="13" t="s">
        <v>361</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58021</v>
      </c>
      <c r="C6" s="17">
        <v>38922</v>
      </c>
      <c r="D6" s="17">
        <v>30011</v>
      </c>
      <c r="E6" s="17">
        <v>68933</v>
      </c>
      <c r="F6" s="17">
        <v>75429</v>
      </c>
      <c r="G6" s="18">
        <f>IF(AND(F67&lt;&gt;90819,75429&lt;&gt;0),IF(100*75429/(F67-90819)&lt;0.005,"*",100*75429/(F67-90819)),0)</f>
        <v>0.500011766308518</v>
      </c>
    </row>
    <row r="7" spans="1:7" ht="12.75">
      <c r="A7" s="11" t="s">
        <v>89</v>
      </c>
      <c r="B7" s="17">
        <v>62549</v>
      </c>
      <c r="C7" s="17">
        <v>41960</v>
      </c>
      <c r="D7" s="17">
        <v>32353</v>
      </c>
      <c r="E7" s="17">
        <v>74313</v>
      </c>
      <c r="F7" s="17">
        <v>81316</v>
      </c>
      <c r="G7" s="18">
        <f>IF(AND(F67&lt;&gt;90819,81316&lt;&gt;0),IF(100*81316/(F67-90819)&lt;0.005,"*",100*81316/(F67-90819)),0)</f>
        <v>0.5390361371507436</v>
      </c>
    </row>
    <row r="8" spans="1:7" ht="12.75">
      <c r="A8" s="11" t="s">
        <v>90</v>
      </c>
      <c r="B8" s="17">
        <v>81475</v>
      </c>
      <c r="C8" s="17">
        <v>54656</v>
      </c>
      <c r="D8" s="17">
        <v>42143</v>
      </c>
      <c r="E8" s="17">
        <v>96799</v>
      </c>
      <c r="F8" s="17">
        <v>105921</v>
      </c>
      <c r="G8" s="18">
        <f>IF(AND(F67&lt;&gt;90819,105921&lt;&gt;0),IF(100*105921/(F67-90819)&lt;0.005,"*",100*105921/(F67-90819)),0)</f>
        <v>0.7021403743807358</v>
      </c>
    </row>
    <row r="9" spans="1:7" ht="12.75">
      <c r="A9" s="11" t="s">
        <v>91</v>
      </c>
      <c r="B9" s="17">
        <v>23076</v>
      </c>
      <c r="C9" s="17">
        <v>15480</v>
      </c>
      <c r="D9" s="17">
        <v>11936</v>
      </c>
      <c r="E9" s="17">
        <v>27416</v>
      </c>
      <c r="F9" s="17">
        <v>29999</v>
      </c>
      <c r="G9" s="18">
        <f>IF(AND(F67&lt;&gt;90819,29999&lt;&gt;0),IF(100*29999/(F67-90819)&lt;0.005,"*",100*29999/(F67-90819)),0)</f>
        <v>0.19886055731203156</v>
      </c>
    </row>
    <row r="10" spans="1:7" ht="12.75">
      <c r="A10" s="11" t="s">
        <v>92</v>
      </c>
      <c r="B10" s="17">
        <v>1330848</v>
      </c>
      <c r="C10" s="17">
        <v>892775</v>
      </c>
      <c r="D10" s="17">
        <v>688382</v>
      </c>
      <c r="E10" s="17">
        <v>1581157</v>
      </c>
      <c r="F10" s="17">
        <v>1730153</v>
      </c>
      <c r="G10" s="18">
        <f>IF(AND(F67&lt;&gt;90819,1730153&lt;&gt;0),IF(100*1730153/(F67-90819)&lt;0.005,"*",100*1730153/(F67-90819)),0)</f>
        <v>11.46902196123482</v>
      </c>
    </row>
    <row r="11" spans="1:7" ht="12.75">
      <c r="A11" s="11" t="s">
        <v>93</v>
      </c>
      <c r="B11" s="17">
        <v>66992</v>
      </c>
      <c r="C11" s="17">
        <v>44941</v>
      </c>
      <c r="D11" s="17">
        <v>34652</v>
      </c>
      <c r="E11" s="17">
        <v>79593</v>
      </c>
      <c r="F11" s="17">
        <v>87092</v>
      </c>
      <c r="G11" s="18">
        <f>IF(AND(F67&lt;&gt;90819,87092&lt;&gt;0),IF(100*87092/(F67-90819)&lt;0.005,"*",100*87092/(F67-90819)),0)</f>
        <v>0.5773246994039619</v>
      </c>
    </row>
    <row r="12" spans="1:7" ht="12.75">
      <c r="A12" s="11" t="s">
        <v>94</v>
      </c>
      <c r="B12" s="17">
        <v>71766</v>
      </c>
      <c r="C12" s="17">
        <v>48143</v>
      </c>
      <c r="D12" s="17">
        <v>37121</v>
      </c>
      <c r="E12" s="17">
        <v>85264</v>
      </c>
      <c r="F12" s="17">
        <v>93298</v>
      </c>
      <c r="G12" s="18">
        <f>IF(AND(F67&lt;&gt;90819,93298&lt;&gt;0),IF(100*93298/(F67-90819)&lt;0.005,"*",100*93298/(F67-90819)),0)</f>
        <v>0.6184636913263082</v>
      </c>
    </row>
    <row r="13" spans="1:7" ht="12.75">
      <c r="A13" s="11" t="s">
        <v>95</v>
      </c>
      <c r="B13" s="17">
        <v>15676</v>
      </c>
      <c r="C13" s="17">
        <v>10516</v>
      </c>
      <c r="D13" s="17">
        <v>8108</v>
      </c>
      <c r="E13" s="17">
        <v>18624</v>
      </c>
      <c r="F13" s="17">
        <v>20379</v>
      </c>
      <c r="G13" s="18">
        <f>IF(AND(F67&lt;&gt;90819,20379&lt;&gt;0),IF(100*20379/(F67-90819)&lt;0.005,"*",100*20379/(F67-90819)),0)</f>
        <v>0.13509047959804965</v>
      </c>
    </row>
    <row r="14" spans="1:7" ht="12.75">
      <c r="A14" s="11" t="s">
        <v>96</v>
      </c>
      <c r="B14" s="17">
        <v>908299</v>
      </c>
      <c r="C14" s="17">
        <v>609317</v>
      </c>
      <c r="D14" s="17">
        <v>469819</v>
      </c>
      <c r="E14" s="17">
        <v>1079136</v>
      </c>
      <c r="F14" s="17">
        <v>1180825</v>
      </c>
      <c r="G14" s="18">
        <f>IF(AND(F67&lt;&gt;90819,1180825&lt;&gt;0),IF(100*1180825/(F67-90819)&lt;0.005,"*",100*1180825/(F67-90819)),0)</f>
        <v>7.827578172205063</v>
      </c>
    </row>
    <row r="15" spans="1:7" ht="12.75">
      <c r="A15" s="11" t="s">
        <v>97</v>
      </c>
      <c r="B15" s="17">
        <v>466309</v>
      </c>
      <c r="C15" s="17">
        <v>312816</v>
      </c>
      <c r="D15" s="17">
        <v>241199</v>
      </c>
      <c r="E15" s="17">
        <v>554015</v>
      </c>
      <c r="F15" s="17">
        <v>606220</v>
      </c>
      <c r="G15" s="18">
        <f>IF(AND(F67&lt;&gt;90819,606220&lt;&gt;0),IF(100*606220/(F67-90819)&lt;0.005,"*",100*606220/(F67-90819)),0)</f>
        <v>4.018575520974025</v>
      </c>
    </row>
    <row r="16" spans="1:7" ht="12.75">
      <c r="A16" s="11" t="s">
        <v>98</v>
      </c>
      <c r="B16" s="17">
        <v>210718</v>
      </c>
      <c r="C16" s="17">
        <v>141357</v>
      </c>
      <c r="D16" s="17">
        <v>108994</v>
      </c>
      <c r="E16" s="17">
        <v>250351</v>
      </c>
      <c r="F16" s="17">
        <v>273941</v>
      </c>
      <c r="G16" s="18">
        <f>IF(AND(F67&lt;&gt;90819,273941&lt;&gt;0),IF(100*273941/(F67-90819)&lt;0.005,"*",100*273941/(F67-90819)),0)</f>
        <v>1.815929195327019</v>
      </c>
    </row>
    <row r="17" spans="1:7" ht="12.75">
      <c r="A17" s="11" t="s">
        <v>99</v>
      </c>
      <c r="B17" s="17">
        <v>53695</v>
      </c>
      <c r="C17" s="17">
        <v>36020</v>
      </c>
      <c r="D17" s="17">
        <v>27774</v>
      </c>
      <c r="E17" s="17">
        <v>63794</v>
      </c>
      <c r="F17" s="17">
        <v>69805</v>
      </c>
      <c r="G17" s="18">
        <f>IF(AND(F67&lt;&gt;90819,69805&lt;&gt;0),IF(100*69805/(F67-90819)&lt;0.005,"*",100*69805/(F67-90819)),0)</f>
        <v>0.4627307977988054</v>
      </c>
    </row>
    <row r="18" spans="1:7" ht="12.75">
      <c r="A18" s="11" t="s">
        <v>100</v>
      </c>
      <c r="B18" s="17">
        <v>24157</v>
      </c>
      <c r="C18" s="17">
        <v>16205</v>
      </c>
      <c r="D18" s="17">
        <v>12495</v>
      </c>
      <c r="E18" s="17">
        <v>28700</v>
      </c>
      <c r="F18" s="17">
        <v>31405</v>
      </c>
      <c r="G18" s="18">
        <f>IF(AND(F67&lt;&gt;90819,31405&lt;&gt;0),IF(100*31405/(F67-90819)&lt;0.005,"*",100*31405/(F67-90819)),0)</f>
        <v>0.2081807994394597</v>
      </c>
    </row>
    <row r="19" spans="1:7" ht="12.75">
      <c r="A19" s="11" t="s">
        <v>101</v>
      </c>
      <c r="B19" s="17">
        <v>462206</v>
      </c>
      <c r="C19" s="17">
        <v>310063</v>
      </c>
      <c r="D19" s="17">
        <v>239076</v>
      </c>
      <c r="E19" s="17">
        <v>549139</v>
      </c>
      <c r="F19" s="17">
        <v>600886</v>
      </c>
      <c r="G19" s="18">
        <f>IF(AND(F67&lt;&gt;90819,600886&lt;&gt;0),IF(100*600886/(F67-90819)&lt;0.005,"*",100*600886/(F67-90819)),0)</f>
        <v>3.983216935264422</v>
      </c>
    </row>
    <row r="20" spans="1:7" ht="12.75">
      <c r="A20" s="11" t="s">
        <v>102</v>
      </c>
      <c r="B20" s="17">
        <v>111407</v>
      </c>
      <c r="C20" s="17">
        <v>74736</v>
      </c>
      <c r="D20" s="17">
        <v>57625</v>
      </c>
      <c r="E20" s="17">
        <v>132361</v>
      </c>
      <c r="F20" s="17">
        <v>144834</v>
      </c>
      <c r="G20" s="18">
        <f>IF(AND(F67&lt;&gt;90819,144834&lt;&gt;0),IF(100*144834/(F67-90819)&lt;0.005,"*",100*144834/(F67-90819)),0)</f>
        <v>0.9600910016244135</v>
      </c>
    </row>
    <row r="21" spans="1:7" ht="12.75">
      <c r="A21" s="11" t="s">
        <v>103</v>
      </c>
      <c r="B21" s="17">
        <v>38416</v>
      </c>
      <c r="C21" s="17">
        <v>25771</v>
      </c>
      <c r="D21" s="17">
        <v>19871</v>
      </c>
      <c r="E21" s="17">
        <v>45642</v>
      </c>
      <c r="F21" s="17">
        <v>49942</v>
      </c>
      <c r="G21" s="18">
        <f>IF(AND(F67&lt;&gt;90819,49942&lt;&gt;0),IF(100*49942/(F67-90819)&lt;0.005,"*",100*49942/(F67-90819)),0)</f>
        <v>0.3310608338037095</v>
      </c>
    </row>
    <row r="22" spans="1:7" ht="12.75">
      <c r="A22" s="11" t="s">
        <v>104</v>
      </c>
      <c r="B22" s="17">
        <v>29873</v>
      </c>
      <c r="C22" s="17">
        <v>20040</v>
      </c>
      <c r="D22" s="17">
        <v>15452</v>
      </c>
      <c r="E22" s="17">
        <v>35492</v>
      </c>
      <c r="F22" s="17">
        <v>38836</v>
      </c>
      <c r="G22" s="18">
        <f>IF(AND(F67&lt;&gt;90819,38836&lt;&gt;0),IF(100*38836/(F67-90819)&lt;0.005,"*",100*38836/(F67-90819)),0)</f>
        <v>0.25744020146571744</v>
      </c>
    </row>
    <row r="23" spans="1:7" ht="12.75">
      <c r="A23" s="11" t="s">
        <v>105</v>
      </c>
      <c r="B23" s="17">
        <v>63019</v>
      </c>
      <c r="C23" s="17">
        <v>42276</v>
      </c>
      <c r="D23" s="17">
        <v>32597</v>
      </c>
      <c r="E23" s="17">
        <v>74873</v>
      </c>
      <c r="F23" s="17">
        <v>81928</v>
      </c>
      <c r="G23" s="18">
        <f>IF(AND(F67&lt;&gt;90819,81928&lt;&gt;0),IF(100*81928/(F67-90819)&lt;0.005,"*",100*81928/(F67-90819)),0)</f>
        <v>0.5430930277495957</v>
      </c>
    </row>
    <row r="24" spans="1:7" ht="12.75">
      <c r="A24" s="11" t="s">
        <v>106</v>
      </c>
      <c r="B24" s="17">
        <v>63093</v>
      </c>
      <c r="C24" s="17">
        <v>42325</v>
      </c>
      <c r="D24" s="17">
        <v>32635</v>
      </c>
      <c r="E24" s="17">
        <v>74960</v>
      </c>
      <c r="F24" s="17">
        <v>82024</v>
      </c>
      <c r="G24" s="18">
        <f>IF(AND(F67&lt;&gt;90819,82024&lt;&gt;0),IF(100*82024/(F67-90819)&lt;0.005,"*",100*82024/(F67-90819)),0)</f>
        <v>0.5437294027454941</v>
      </c>
    </row>
    <row r="25" spans="1:7" ht="12.75">
      <c r="A25" s="11" t="s">
        <v>107</v>
      </c>
      <c r="B25" s="17">
        <v>20886</v>
      </c>
      <c r="C25" s="17">
        <v>14011</v>
      </c>
      <c r="D25" s="17">
        <v>10804</v>
      </c>
      <c r="E25" s="17">
        <v>24815</v>
      </c>
      <c r="F25" s="17">
        <v>27153</v>
      </c>
      <c r="G25" s="18">
        <f>IF(AND(F67&lt;&gt;90819,27153&lt;&gt;0),IF(100*27153/(F67-90819)&lt;0.005,"*",100*27153/(F67-90819)),0)</f>
        <v>0.17999469024612796</v>
      </c>
    </row>
    <row r="26" spans="1:7" ht="12.75">
      <c r="A26" s="11" t="s">
        <v>108</v>
      </c>
      <c r="B26" s="17">
        <v>170803</v>
      </c>
      <c r="C26" s="17">
        <v>114580</v>
      </c>
      <c r="D26" s="17">
        <v>88348</v>
      </c>
      <c r="E26" s="17">
        <v>202928</v>
      </c>
      <c r="F26" s="17">
        <v>222051</v>
      </c>
      <c r="G26" s="18">
        <f>IF(AND(F67&lt;&gt;90819,222051&lt;&gt;0),IF(100*222051/(F67-90819)&lt;0.005,"*",100*222051/(F67-90819)),0)</f>
        <v>1.4719552522315384</v>
      </c>
    </row>
    <row r="27" spans="1:7" ht="12.75">
      <c r="A27" s="11" t="s">
        <v>109</v>
      </c>
      <c r="B27" s="17">
        <v>301561</v>
      </c>
      <c r="C27" s="17">
        <v>202297</v>
      </c>
      <c r="D27" s="17">
        <v>155982</v>
      </c>
      <c r="E27" s="17">
        <v>358279</v>
      </c>
      <c r="F27" s="17">
        <v>392041</v>
      </c>
      <c r="G27" s="18">
        <f>IF(AND(F67&lt;&gt;90819,392041&lt;&gt;0),IF(100*392041/(F67-90819)&lt;0.005,"*",100*392041/(F67-90819)),0)</f>
        <v>2.5988030184061524</v>
      </c>
    </row>
    <row r="28" spans="1:7" ht="12.75">
      <c r="A28" s="11" t="s">
        <v>110</v>
      </c>
      <c r="B28" s="17">
        <v>155268</v>
      </c>
      <c r="C28" s="17">
        <v>104159</v>
      </c>
      <c r="D28" s="17">
        <v>80312</v>
      </c>
      <c r="E28" s="17">
        <v>184471</v>
      </c>
      <c r="F28" s="17">
        <v>201854</v>
      </c>
      <c r="G28" s="18">
        <f>IF(AND(F67&lt;&gt;90819,201854&lt;&gt;0),IF(100*201854/(F67-90819)&lt;0.005,"*",100*201854/(F67-90819)),0)</f>
        <v>1.3380712335632128</v>
      </c>
    </row>
    <row r="29" spans="1:7" ht="12.75">
      <c r="A29" s="11" t="s">
        <v>111</v>
      </c>
      <c r="B29" s="17">
        <v>131227</v>
      </c>
      <c r="C29" s="17">
        <v>88032</v>
      </c>
      <c r="D29" s="17">
        <v>67877</v>
      </c>
      <c r="E29" s="17">
        <v>155909</v>
      </c>
      <c r="F29" s="17">
        <v>170601</v>
      </c>
      <c r="G29" s="18">
        <f>IF(AND(F67&lt;&gt;90819,170601&lt;&gt;0),IF(100*170601/(F67-90819)&lt;0.005,"*",100*170601/(F67-90819)),0)</f>
        <v>1.130898027867259</v>
      </c>
    </row>
    <row r="30" spans="1:7" ht="12.75">
      <c r="A30" s="11" t="s">
        <v>112</v>
      </c>
      <c r="B30" s="17">
        <v>27998</v>
      </c>
      <c r="C30" s="17">
        <v>18782</v>
      </c>
      <c r="D30" s="17">
        <v>14482</v>
      </c>
      <c r="E30" s="17">
        <v>33264</v>
      </c>
      <c r="F30" s="17">
        <v>36398</v>
      </c>
      <c r="G30" s="18">
        <f>IF(AND(F67&lt;&gt;90819,36398&lt;&gt;0),IF(100*36398/(F67-90819)&lt;0.005,"*",100*36398/(F67-90819)),0)</f>
        <v>0.24127892813238191</v>
      </c>
    </row>
    <row r="31" spans="1:7" ht="12.75">
      <c r="A31" s="11" t="s">
        <v>113</v>
      </c>
      <c r="B31" s="17">
        <v>111664</v>
      </c>
      <c r="C31" s="17">
        <v>74908</v>
      </c>
      <c r="D31" s="17">
        <v>57759</v>
      </c>
      <c r="E31" s="17">
        <v>132667</v>
      </c>
      <c r="F31" s="17">
        <v>145168</v>
      </c>
      <c r="G31" s="18">
        <f>IF(AND(F67&lt;&gt;90819,145168&lt;&gt;0),IF(100*145168/(F67-90819)&lt;0.005,"*",100*145168/(F67-90819)),0)</f>
        <v>0.9623050562976432</v>
      </c>
    </row>
    <row r="32" spans="1:7" ht="12.75">
      <c r="A32" s="11" t="s">
        <v>114</v>
      </c>
      <c r="B32" s="17">
        <v>17681</v>
      </c>
      <c r="C32" s="17">
        <v>11861</v>
      </c>
      <c r="D32" s="17">
        <v>9145</v>
      </c>
      <c r="E32" s="17">
        <v>21006</v>
      </c>
      <c r="F32" s="17">
        <v>22986</v>
      </c>
      <c r="G32" s="18">
        <f>IF(AND(F67&lt;&gt;90819,22986&lt;&gt;0),IF(100*22986/(F67-90819)&lt;0.005,"*",100*22986/(F67-90819)),0)</f>
        <v>0.1523720380804146</v>
      </c>
    </row>
    <row r="33" spans="1:7" ht="12.75">
      <c r="A33" s="11" t="s">
        <v>115</v>
      </c>
      <c r="B33" s="17">
        <v>24308</v>
      </c>
      <c r="C33" s="17">
        <v>16306</v>
      </c>
      <c r="D33" s="17">
        <v>12573</v>
      </c>
      <c r="E33" s="17">
        <v>28879</v>
      </c>
      <c r="F33" s="17">
        <v>31601</v>
      </c>
      <c r="G33" s="18">
        <f>IF(AND(F67&lt;&gt;90819,31601&lt;&gt;0),IF(100*31601/(F67-90819)&lt;0.005,"*",100*31601/(F67-90819)),0)</f>
        <v>0.20948006505608552</v>
      </c>
    </row>
    <row r="34" spans="1:7" ht="12.75">
      <c r="A34" s="11" t="s">
        <v>116</v>
      </c>
      <c r="B34" s="17">
        <v>62549</v>
      </c>
      <c r="C34" s="17">
        <v>41960</v>
      </c>
      <c r="D34" s="17">
        <v>32353</v>
      </c>
      <c r="E34" s="17">
        <v>74313</v>
      </c>
      <c r="F34" s="17">
        <v>81316</v>
      </c>
      <c r="G34" s="18">
        <f>IF(AND(F67&lt;&gt;90819,81316&lt;&gt;0),IF(100*81316/(F67-90819)&lt;0.005,"*",100*81316/(F67-90819)),0)</f>
        <v>0.5390361371507436</v>
      </c>
    </row>
    <row r="35" spans="1:7" ht="12.75">
      <c r="A35" s="11" t="s">
        <v>117</v>
      </c>
      <c r="B35" s="17">
        <v>18329</v>
      </c>
      <c r="C35" s="17">
        <v>12296</v>
      </c>
      <c r="D35" s="17">
        <v>9481</v>
      </c>
      <c r="E35" s="17">
        <v>21777</v>
      </c>
      <c r="F35" s="17">
        <v>23829</v>
      </c>
      <c r="G35" s="18">
        <f>IF(AND(F67&lt;&gt;90819,23829&lt;&gt;0),IF(100*23829/(F67-90819)&lt;0.005,"*",100*23829/(F67-90819)),0)</f>
        <v>0.15796020601314711</v>
      </c>
    </row>
    <row r="36" spans="1:7" ht="12.75">
      <c r="A36" s="11" t="s">
        <v>118</v>
      </c>
      <c r="B36" s="17">
        <v>515681</v>
      </c>
      <c r="C36" s="17">
        <v>345936</v>
      </c>
      <c r="D36" s="17">
        <v>266736</v>
      </c>
      <c r="E36" s="17">
        <v>612672</v>
      </c>
      <c r="F36" s="17">
        <v>670405</v>
      </c>
      <c r="G36" s="18">
        <f>IF(AND(F67&lt;&gt;90819,670405&lt;&gt;0),IF(100*670405/(F67-90819)&lt;0.005,"*",100*670405/(F67-90819)),0)</f>
        <v>4.444051865887947</v>
      </c>
    </row>
    <row r="37" spans="1:7" ht="12.75">
      <c r="A37" s="11" t="s">
        <v>119</v>
      </c>
      <c r="B37" s="17">
        <v>49228</v>
      </c>
      <c r="C37" s="17">
        <v>33024</v>
      </c>
      <c r="D37" s="17">
        <v>25463</v>
      </c>
      <c r="E37" s="17">
        <v>58487</v>
      </c>
      <c r="F37" s="17">
        <v>63999</v>
      </c>
      <c r="G37" s="18">
        <f>IF(AND(F67&lt;&gt;90819,63999&lt;&gt;0),IF(100*63999/(F67-90819)&lt;0.005,"*",100*63999/(F67-90819)),0)</f>
        <v>0.42424336835936893</v>
      </c>
    </row>
    <row r="38" spans="1:7" ht="12.75">
      <c r="A38" s="11" t="s">
        <v>120</v>
      </c>
      <c r="B38" s="17">
        <v>1248514</v>
      </c>
      <c r="C38" s="17">
        <v>837545</v>
      </c>
      <c r="D38" s="17">
        <v>645795</v>
      </c>
      <c r="E38" s="17">
        <v>1483340</v>
      </c>
      <c r="F38" s="17">
        <v>1623117</v>
      </c>
      <c r="G38" s="18">
        <f>IF(AND(F67&lt;&gt;90819,1623117&lt;&gt;0),IF(100*1623117/(F67-90819)&lt;0.005,"*",100*1623117/(F67-90819)),0)</f>
        <v>10.759490356432972</v>
      </c>
    </row>
    <row r="39" spans="1:7" ht="12.75">
      <c r="A39" s="11" t="s">
        <v>121</v>
      </c>
      <c r="B39" s="17">
        <v>143779</v>
      </c>
      <c r="C39" s="17">
        <v>96451</v>
      </c>
      <c r="D39" s="17">
        <v>74370</v>
      </c>
      <c r="E39" s="17">
        <v>170821</v>
      </c>
      <c r="F39" s="17">
        <v>186918</v>
      </c>
      <c r="G39" s="18">
        <f>IF(AND(F67&lt;&gt;90819,186918&lt;&gt;0),IF(100*186918/(F67-90819)&lt;0.005,"*",100*186918/(F67-90819)),0)</f>
        <v>1.2390618904513588</v>
      </c>
    </row>
    <row r="40" spans="1:7" ht="12.75">
      <c r="A40" s="11" t="s">
        <v>122</v>
      </c>
      <c r="B40" s="17">
        <v>15327</v>
      </c>
      <c r="C40" s="17">
        <v>10282</v>
      </c>
      <c r="D40" s="17">
        <v>7928</v>
      </c>
      <c r="E40" s="17">
        <v>18210</v>
      </c>
      <c r="F40" s="17">
        <v>19926</v>
      </c>
      <c r="G40" s="18">
        <f>IF(AND(F67&lt;&gt;90819,19926&lt;&gt;0),IF(100*19926/(F67-90819)&lt;0.005,"*",100*19926/(F67-90819)),0)</f>
        <v>0.13208758508615423</v>
      </c>
    </row>
    <row r="41" spans="1:7" ht="12.75">
      <c r="A41" s="11" t="s">
        <v>123</v>
      </c>
      <c r="B41" s="17">
        <v>203371</v>
      </c>
      <c r="C41" s="17">
        <v>136428</v>
      </c>
      <c r="D41" s="17">
        <v>105194</v>
      </c>
      <c r="E41" s="17">
        <v>241622</v>
      </c>
      <c r="F41" s="17">
        <v>264390</v>
      </c>
      <c r="G41" s="18">
        <f>IF(AND(F67&lt;&gt;90819,264390&lt;&gt;0),IF(100*264390/(F67-90819)&lt;0.005,"*",100*264390/(F67-90819)),0)</f>
        <v>1.7526165121413388</v>
      </c>
    </row>
    <row r="42" spans="1:7" ht="12.75">
      <c r="A42" s="11" t="s">
        <v>124</v>
      </c>
      <c r="B42" s="17">
        <v>38725</v>
      </c>
      <c r="C42" s="17">
        <v>25978</v>
      </c>
      <c r="D42" s="17">
        <v>20030</v>
      </c>
      <c r="E42" s="17">
        <v>46008</v>
      </c>
      <c r="F42" s="17">
        <v>50344</v>
      </c>
      <c r="G42" s="18">
        <f>IF(AND(F67&lt;&gt;90819,50344&lt;&gt;0),IF(100*50344/(F67-90819)&lt;0.005,"*",100*50344/(F67-90819)),0)</f>
        <v>0.3337256540990339</v>
      </c>
    </row>
    <row r="43" spans="1:7" ht="12.75">
      <c r="A43" s="11" t="s">
        <v>125</v>
      </c>
      <c r="B43" s="17">
        <v>142742</v>
      </c>
      <c r="C43" s="17">
        <v>95756</v>
      </c>
      <c r="D43" s="17">
        <v>73834</v>
      </c>
      <c r="E43" s="17">
        <v>169590</v>
      </c>
      <c r="F43" s="17">
        <v>185571</v>
      </c>
      <c r="G43" s="18">
        <f>IF(AND(F67&lt;&gt;90819,185571&lt;&gt;0),IF(100*185571/(F67-90819)&lt;0.005,"*",100*185571/(F67-90819)),0)</f>
        <v>1.23013275379016</v>
      </c>
    </row>
    <row r="44" spans="1:7" ht="12.75">
      <c r="A44" s="11" t="s">
        <v>126</v>
      </c>
      <c r="B44" s="17">
        <v>363332</v>
      </c>
      <c r="C44" s="17">
        <v>243735</v>
      </c>
      <c r="D44" s="17">
        <v>187934</v>
      </c>
      <c r="E44" s="17">
        <v>431669</v>
      </c>
      <c r="F44" s="17">
        <v>472346</v>
      </c>
      <c r="G44" s="18">
        <f>IF(AND(F67&lt;&gt;90819,472346&lt;&gt;0),IF(100*472346/(F67-90819)&lt;0.005,"*",100*472346/(F67-90819)),0)</f>
        <v>3.1311373313813413</v>
      </c>
    </row>
    <row r="45" spans="1:7" ht="12.75">
      <c r="A45" s="11" t="s">
        <v>127</v>
      </c>
      <c r="B45" s="17">
        <v>35605</v>
      </c>
      <c r="C45" s="17">
        <v>23885</v>
      </c>
      <c r="D45" s="17">
        <v>18417</v>
      </c>
      <c r="E45" s="17">
        <v>42302</v>
      </c>
      <c r="F45" s="17">
        <v>46288</v>
      </c>
      <c r="G45" s="18">
        <f>IF(AND(F67&lt;&gt;90819,46288&lt;&gt;0),IF(100*46288/(F67-90819)&lt;0.005,"*",100*46288/(F67-90819)),0)</f>
        <v>0.306838810522328</v>
      </c>
    </row>
    <row r="46" spans="1:7" ht="12.75">
      <c r="A46" s="11" t="s">
        <v>128</v>
      </c>
      <c r="B46" s="17">
        <v>34882</v>
      </c>
      <c r="C46" s="17">
        <v>23400</v>
      </c>
      <c r="D46" s="17">
        <v>18043</v>
      </c>
      <c r="E46" s="17">
        <v>41443</v>
      </c>
      <c r="F46" s="17">
        <v>45348</v>
      </c>
      <c r="G46" s="18">
        <f>IF(AND(F67&lt;&gt;90819,45348&lt;&gt;0),IF(100*45348/(F67-90819)&lt;0.005,"*",100*45348/(F67-90819)),0)</f>
        <v>0.30060763868748985</v>
      </c>
    </row>
    <row r="47" spans="1:7" ht="12.75">
      <c r="A47" s="11" t="s">
        <v>129</v>
      </c>
      <c r="B47" s="17">
        <v>17712</v>
      </c>
      <c r="C47" s="17">
        <v>11882</v>
      </c>
      <c r="D47" s="17">
        <v>9161</v>
      </c>
      <c r="E47" s="17">
        <v>21043</v>
      </c>
      <c r="F47" s="17">
        <v>23026</v>
      </c>
      <c r="G47" s="18">
        <f>IF(AND(F67&lt;&gt;90819,23026&lt;&gt;0),IF(100*23026/(F67-90819)&lt;0.005,"*",100*23026/(F67-90819)),0)</f>
        <v>0.1526371943287056</v>
      </c>
    </row>
    <row r="48" spans="1:7" ht="12.75">
      <c r="A48" s="11" t="s">
        <v>130</v>
      </c>
      <c r="B48" s="17">
        <v>86702</v>
      </c>
      <c r="C48" s="17">
        <v>58162</v>
      </c>
      <c r="D48" s="17">
        <v>44846</v>
      </c>
      <c r="E48" s="17">
        <v>103008</v>
      </c>
      <c r="F48" s="17">
        <v>112715</v>
      </c>
      <c r="G48" s="18">
        <f>IF(AND(F67&lt;&gt;90819,112715&lt;&gt;0),IF(100*112715/(F67-90819)&lt;0.005,"*",100*112715/(F67-90819)),0)</f>
        <v>0.7471771631529597</v>
      </c>
    </row>
    <row r="49" spans="1:7" ht="12.75">
      <c r="A49" s="11" t="s">
        <v>131</v>
      </c>
      <c r="B49" s="17">
        <v>398626</v>
      </c>
      <c r="C49" s="17">
        <v>267412</v>
      </c>
      <c r="D49" s="17">
        <v>206190</v>
      </c>
      <c r="E49" s="17">
        <v>473602</v>
      </c>
      <c r="F49" s="17">
        <v>518230</v>
      </c>
      <c r="G49" s="18">
        <f>IF(AND(F67&lt;&gt;90819,518230&lt;&gt;0),IF(100*518230/(F67-90819)&lt;0.005,"*",100*518230/(F67-90819)),0)</f>
        <v>3.4352980637959303</v>
      </c>
    </row>
    <row r="50" spans="1:7" ht="12.75">
      <c r="A50" s="11" t="s">
        <v>132</v>
      </c>
      <c r="B50" s="17">
        <v>57657</v>
      </c>
      <c r="C50" s="17">
        <v>38679</v>
      </c>
      <c r="D50" s="17">
        <v>29823</v>
      </c>
      <c r="E50" s="17">
        <v>68502</v>
      </c>
      <c r="F50" s="17">
        <v>74957</v>
      </c>
      <c r="G50" s="18">
        <f>IF(AND(F67&lt;&gt;90819,74957&lt;&gt;0),IF(100*74957/(F67-90819)&lt;0.005,"*",100*74957/(F67-90819)),0)</f>
        <v>0.49688292257868427</v>
      </c>
    </row>
    <row r="51" spans="1:7" ht="12.75">
      <c r="A51" s="11" t="s">
        <v>133</v>
      </c>
      <c r="B51" s="17">
        <v>21293</v>
      </c>
      <c r="C51" s="17">
        <v>14284</v>
      </c>
      <c r="D51" s="17">
        <v>11014</v>
      </c>
      <c r="E51" s="17">
        <v>25298</v>
      </c>
      <c r="F51" s="17">
        <v>27682</v>
      </c>
      <c r="G51" s="18">
        <f>IF(AND(F67&lt;&gt;90819,27682&lt;&gt;0),IF(100*27682/(F67-90819)&lt;0.005,"*",100*27682/(F67-90819)),0)</f>
        <v>0.18350138162977625</v>
      </c>
    </row>
    <row r="52" spans="1:7" ht="12.75">
      <c r="A52" s="11" t="s">
        <v>134</v>
      </c>
      <c r="B52" s="17">
        <v>197364</v>
      </c>
      <c r="C52" s="17">
        <v>132398</v>
      </c>
      <c r="D52" s="17">
        <v>102087</v>
      </c>
      <c r="E52" s="17">
        <v>234485</v>
      </c>
      <c r="F52" s="17">
        <v>256580</v>
      </c>
      <c r="G52" s="18">
        <f>IF(AND(F67&lt;&gt;90819,256580&lt;&gt;0),IF(100*256580/(F67-90819)&lt;0.005,"*",100*256580/(F67-90819)),0)</f>
        <v>1.700844754662524</v>
      </c>
    </row>
    <row r="53" spans="1:7" ht="12.75">
      <c r="A53" s="11" t="s">
        <v>135</v>
      </c>
      <c r="B53" s="17">
        <v>232098</v>
      </c>
      <c r="C53" s="17">
        <v>155699</v>
      </c>
      <c r="D53" s="17">
        <v>120053</v>
      </c>
      <c r="E53" s="17">
        <v>275752</v>
      </c>
      <c r="F53" s="17">
        <v>301736</v>
      </c>
      <c r="G53" s="18">
        <f>IF(AND(F67&lt;&gt;90819,301736&lt;&gt;0),IF(100*301736/(F67-90819)&lt;0.005,"*",100*301736/(F67-90819)),0)</f>
        <v>2.000179643358217</v>
      </c>
    </row>
    <row r="54" spans="1:7" ht="12.75">
      <c r="A54" s="11" t="s">
        <v>136</v>
      </c>
      <c r="B54" s="17">
        <v>20545</v>
      </c>
      <c r="C54" s="17">
        <v>13783</v>
      </c>
      <c r="D54" s="17">
        <v>10627</v>
      </c>
      <c r="E54" s="17">
        <v>24410</v>
      </c>
      <c r="F54" s="17">
        <v>26710</v>
      </c>
      <c r="G54" s="18">
        <f>IF(AND(F67&lt;&gt;90819,26710&lt;&gt;0),IF(100*26710/(F67-90819)&lt;0.005,"*",100*26710/(F67-90819)),0)</f>
        <v>0.1770580847963053</v>
      </c>
    </row>
    <row r="55" spans="1:7" ht="12.75">
      <c r="A55" s="11" t="s">
        <v>137</v>
      </c>
      <c r="B55" s="17">
        <v>61086</v>
      </c>
      <c r="C55" s="17">
        <v>40978</v>
      </c>
      <c r="D55" s="17">
        <v>31597</v>
      </c>
      <c r="E55" s="17">
        <v>72575</v>
      </c>
      <c r="F55" s="17">
        <v>79414</v>
      </c>
      <c r="G55" s="18">
        <f>IF(AND(F67&lt;&gt;90819,79414&lt;&gt;0),IF(100*79414/(F67-90819)&lt;0.005,"*",100*79414/(F67-90819)),0)</f>
        <v>0.5264279575445073</v>
      </c>
    </row>
    <row r="56" spans="1:7" ht="12.75">
      <c r="A56" s="11" t="s">
        <v>138</v>
      </c>
      <c r="B56" s="17">
        <v>11280</v>
      </c>
      <c r="C56" s="17">
        <v>7567</v>
      </c>
      <c r="D56" s="17">
        <v>5834</v>
      </c>
      <c r="E56" s="17">
        <v>13401</v>
      </c>
      <c r="F56" s="17">
        <v>14664</v>
      </c>
      <c r="G56" s="18">
        <f>IF(AND(F67&lt;&gt;90819,14664&lt;&gt;0),IF(100*14664/(F67-90819)&lt;0.005,"*",100*14664/(F67-90819)),0)</f>
        <v>0.09720628062347514</v>
      </c>
    </row>
    <row r="57" spans="1:7" ht="12.75">
      <c r="A57" s="11" t="s">
        <v>139</v>
      </c>
      <c r="B57" s="17">
        <v>2478</v>
      </c>
      <c r="C57" s="17">
        <v>1662</v>
      </c>
      <c r="D57" s="17">
        <v>1282</v>
      </c>
      <c r="E57" s="17">
        <v>2944</v>
      </c>
      <c r="F57" s="17">
        <v>3221</v>
      </c>
      <c r="G57" s="18">
        <f>IF(AND(F67&lt;&gt;90819,3221&lt;&gt;0),IF(100*3221/(F67-90819)&lt;0.005,"*",100*3221/(F67-90819)),0)</f>
        <v>0.021351706893631577</v>
      </c>
    </row>
    <row r="58" spans="1:7" ht="12.75">
      <c r="A58" s="11" t="s">
        <v>140</v>
      </c>
      <c r="B58" s="17">
        <v>1133</v>
      </c>
      <c r="C58" s="17">
        <v>760</v>
      </c>
      <c r="D58" s="17">
        <v>586</v>
      </c>
      <c r="E58" s="17">
        <v>1346</v>
      </c>
      <c r="F58" s="17">
        <v>1473</v>
      </c>
      <c r="G58" s="18">
        <f>IF(AND(F67&lt;&gt;90819,1473&lt;&gt;0),IF(100*1473/(F67-90819)&lt;0.005,"*",100*1473/(F67-90819)),0)</f>
        <v>0.009764378843315527</v>
      </c>
    </row>
    <row r="59" spans="1:7" ht="12.75">
      <c r="A59" s="11" t="s">
        <v>141</v>
      </c>
      <c r="B59" s="17">
        <v>676</v>
      </c>
      <c r="C59" s="17">
        <v>454</v>
      </c>
      <c r="D59" s="17">
        <v>350</v>
      </c>
      <c r="E59" s="17">
        <v>804</v>
      </c>
      <c r="F59" s="17">
        <v>879</v>
      </c>
      <c r="G59" s="18">
        <f>IF(AND(F67&lt;&gt;90819,879&lt;&gt;0),IF(100*879/(F67-90819)&lt;0.005,"*",100*879/(F67-90819)),0)</f>
        <v>0.005826808556194398</v>
      </c>
    </row>
    <row r="60" spans="1:7" ht="12.75">
      <c r="A60" s="11" t="s">
        <v>142</v>
      </c>
      <c r="B60" s="17">
        <v>64441</v>
      </c>
      <c r="C60" s="17">
        <v>43229</v>
      </c>
      <c r="D60" s="17">
        <v>33332</v>
      </c>
      <c r="E60" s="17">
        <v>76561</v>
      </c>
      <c r="F60" s="17">
        <v>83775</v>
      </c>
      <c r="G60" s="18">
        <f>IF(AND(F67&lt;&gt;90819,83775&lt;&gt;0),IF(100*83775/(F67-90819)&lt;0.005,"*",100*83775/(F67-90819)),0)</f>
        <v>0.555336617514432</v>
      </c>
    </row>
    <row r="61" spans="1:7" ht="12.75">
      <c r="A61" s="11" t="s">
        <v>143</v>
      </c>
      <c r="B61" s="17">
        <v>0</v>
      </c>
      <c r="C61" s="17">
        <v>0</v>
      </c>
      <c r="D61" s="17">
        <v>0</v>
      </c>
      <c r="E61" s="17">
        <v>0</v>
      </c>
      <c r="F61" s="17">
        <v>0</v>
      </c>
      <c r="G61" s="18">
        <f>IF(AND(F67&lt;&gt;90819,0&lt;&gt;0),IF(100*0/(F67-90819)&lt;0.005,"*",100*0/(F67-90819)),0)</f>
        <v>0</v>
      </c>
    </row>
    <row r="62" spans="1:7" ht="12.75">
      <c r="A62" s="11" t="s">
        <v>144</v>
      </c>
      <c r="B62" s="17">
        <v>0</v>
      </c>
      <c r="C62" s="17">
        <v>0</v>
      </c>
      <c r="D62" s="17">
        <v>0</v>
      </c>
      <c r="E62" s="17">
        <v>0</v>
      </c>
      <c r="F62" s="17">
        <v>0</v>
      </c>
      <c r="G62" s="18">
        <f>IF(AND(F67&lt;&gt;90819,0&lt;&gt;0),IF(100*0/(F67-90819)&lt;0.005,"*",100*0/(F67-90819)),0)</f>
        <v>0</v>
      </c>
    </row>
    <row r="63" spans="1:7" ht="12.75">
      <c r="A63" s="11" t="s">
        <v>145</v>
      </c>
      <c r="B63" s="17">
        <v>0</v>
      </c>
      <c r="C63" s="17">
        <v>0</v>
      </c>
      <c r="D63" s="17">
        <v>0</v>
      </c>
      <c r="E63" s="17">
        <v>0</v>
      </c>
      <c r="F63" s="17">
        <v>0</v>
      </c>
      <c r="G63" s="18">
        <f>IF(AND(F67&lt;&gt;90819,0&lt;&gt;0),IF(100*0/(F67-90819)&lt;0.005,"*",100*0/(F67-90819)),0)</f>
        <v>0</v>
      </c>
    </row>
    <row r="64" spans="1:7" ht="15">
      <c r="A64" s="11" t="s">
        <v>146</v>
      </c>
      <c r="B64" s="17" t="s">
        <v>435</v>
      </c>
      <c r="C64" s="17" t="s">
        <v>436</v>
      </c>
      <c r="D64" s="17" t="s">
        <v>437</v>
      </c>
      <c r="E64" s="17">
        <v>117792</v>
      </c>
      <c r="F64" s="17" t="s">
        <v>438</v>
      </c>
      <c r="G64" s="18">
        <v>0</v>
      </c>
    </row>
    <row r="65" spans="1:7" ht="25.5">
      <c r="A65" s="11" t="s">
        <v>362</v>
      </c>
      <c r="B65" s="17">
        <v>0</v>
      </c>
      <c r="C65" s="17">
        <v>0</v>
      </c>
      <c r="D65" s="17">
        <v>0</v>
      </c>
      <c r="E65" s="17">
        <v>0</v>
      </c>
      <c r="F65" s="17" t="s">
        <v>439</v>
      </c>
      <c r="G65" s="18">
        <f>IF(AND(F67&lt;&gt;90819,2930000&lt;&gt;0),IF(100*2930000/(F67-90819)&lt;0.005,"*",100*2930000/(F67-90819)),0)</f>
        <v>19.42269518731466</v>
      </c>
    </row>
    <row r="66" spans="1:7" ht="25.5">
      <c r="A66" s="11" t="s">
        <v>363</v>
      </c>
      <c r="B66" s="17">
        <v>0</v>
      </c>
      <c r="C66" s="17">
        <v>0</v>
      </c>
      <c r="D66" s="17">
        <v>0</v>
      </c>
      <c r="E66" s="17">
        <v>0</v>
      </c>
      <c r="F66" s="17" t="s">
        <v>440</v>
      </c>
      <c r="G66" s="18">
        <f>IF(AND(F67&lt;&gt;90819,262500&lt;&gt;0),IF(100*262500/(F67-90819)&lt;0.005,"*",100*262500/(F67-90819)),0)</f>
        <v>1.7400878794095898</v>
      </c>
    </row>
    <row r="67" spans="1:7" ht="15" customHeight="1">
      <c r="A67" s="19" t="s">
        <v>87</v>
      </c>
      <c r="B67" s="20">
        <f>58021+62549+81475+23076+1330848+66992+71766+15676+908299+466309+210718+53695+24157+462206+111407+38416+29873+63019+63093+20886+170803+301561+155268+131227+27998+111664+17681+24308+62549+18329+515681+49228+1248514+143779+15327+203371+38725+142742+363332+35605+34882+17712+86702+398626+57657+21293+197364+232098+20545+61086+11280+2478+1133+676+64441+0+0+0+92601+0+0+0</f>
        <v>9240747</v>
      </c>
      <c r="C67" s="20">
        <f>38922+41960+54656+15480+892775+44941+48143+10516+609317+312816+141357+36020+16205+310063+74736+25771+20040+42276+42325+14011+114580+202297+104159+88032+18782+74908+11861+16306+41960+12296+345936+33024+837545+96451+10282+136428+25978+95756+243735+23885+23400+11882+58162+267412+38679+14284+132398+155699+13783+40978+7567+1662+760+454+43229+0+0+0+82399+0+0+0</f>
        <v>6219279</v>
      </c>
      <c r="D67" s="20">
        <f>30011+32353+42143+11936+688382+34652+37121+8108+469819+241199+108994+27774+12495+239076+57625+19871+15452+32597+32635+10804+88348+155982+80312+67877+14482+57759+9145+12573+32353+9481+266736+25463+645795+74370+7928+105194+20030+73834+187934+18417+18043+9161+44846+206190+29823+11014+102087+120053+10627+31597+5834+1282+586+350+33332+0+0+0+35393+0+0+0</f>
        <v>4767278</v>
      </c>
      <c r="E67" s="20">
        <f>SUM(C67:D67)</f>
        <v>10986557</v>
      </c>
      <c r="F67" s="20">
        <f>75429+81316+105921+29999+1730153+87092+93298+20379+1180825+606220+273941+69805+31405+600886+144834+49942+38836+81928+82024+27153+222051+392041+201854+170601+36398+145168+22986+31601+81316+23829+670405+63999+1623117+186918+19926+264390+50344+185571+472346+46288+45348+23026+112715+518230+74957+27682+256580+301736+26710+79414+14664+3221+1473+879+83775+0+0+0+90819+2930000+262500+0</f>
        <v>15176264</v>
      </c>
      <c r="G67" s="21" t="s">
        <v>433</v>
      </c>
    </row>
    <row r="68" spans="1:7" ht="15" customHeight="1">
      <c r="A68" s="33" t="s">
        <v>148</v>
      </c>
      <c r="B68" s="33"/>
      <c r="C68" s="33"/>
      <c r="D68" s="33"/>
      <c r="E68" s="33"/>
      <c r="F68" s="33"/>
      <c r="G68" s="33"/>
    </row>
    <row r="69" spans="1:7" ht="15" customHeight="1">
      <c r="A69" s="34" t="s">
        <v>428</v>
      </c>
      <c r="B69" s="34"/>
      <c r="C69" s="34"/>
      <c r="D69" s="34"/>
      <c r="E69" s="34"/>
      <c r="F69" s="34"/>
      <c r="G69" s="34"/>
    </row>
    <row r="70" spans="1:7" ht="15" customHeight="1">
      <c r="A70" s="34" t="s">
        <v>429</v>
      </c>
      <c r="B70" s="34"/>
      <c r="C70" s="34"/>
      <c r="D70" s="34"/>
      <c r="E70" s="34"/>
      <c r="F70" s="34"/>
      <c r="G70" s="34"/>
    </row>
    <row r="71" spans="1:7" ht="15" customHeight="1">
      <c r="A71" s="34" t="s">
        <v>430</v>
      </c>
      <c r="B71" s="34"/>
      <c r="C71" s="34"/>
      <c r="D71" s="34"/>
      <c r="E71" s="34"/>
      <c r="F71" s="34"/>
      <c r="G71" s="34"/>
    </row>
    <row r="72" spans="1:7" ht="15" customHeight="1">
      <c r="A72" s="34" t="s">
        <v>431</v>
      </c>
      <c r="B72" s="34"/>
      <c r="C72" s="34"/>
      <c r="D72" s="34"/>
      <c r="E72" s="34"/>
      <c r="F72" s="34"/>
      <c r="G72" s="34"/>
    </row>
    <row r="73" spans="1:7" ht="15" customHeight="1">
      <c r="A73" s="34" t="s">
        <v>434</v>
      </c>
      <c r="B73" s="34"/>
      <c r="C73" s="34"/>
      <c r="D73" s="34"/>
      <c r="E73" s="34"/>
      <c r="F73" s="34"/>
      <c r="G73" s="34"/>
    </row>
    <row r="74" spans="1:7" ht="15" customHeight="1">
      <c r="A74" s="26" t="s">
        <v>432</v>
      </c>
      <c r="B74" s="26"/>
      <c r="C74" s="26"/>
      <c r="D74" s="26"/>
      <c r="E74" s="26"/>
      <c r="F74" s="26"/>
      <c r="G74" s="26"/>
    </row>
  </sheetData>
  <sheetProtection/>
  <mergeCells count="11">
    <mergeCell ref="A69:G69"/>
    <mergeCell ref="A4:A5"/>
    <mergeCell ref="B4:B5"/>
    <mergeCell ref="F4:F5"/>
    <mergeCell ref="G4:G5"/>
    <mergeCell ref="A68:G68"/>
    <mergeCell ref="A70:G70"/>
    <mergeCell ref="A71:G71"/>
    <mergeCell ref="A72:G72"/>
    <mergeCell ref="A73:G73"/>
    <mergeCell ref="A74:G74"/>
  </mergeCells>
  <printOptions/>
  <pageMargins left="0.7" right="0.7" top="0.75" bottom="0.75" header="0.3" footer="0.3"/>
  <pageSetup fitToHeight="1" fitToWidth="1" orientation="portrait" paperSize="9"/>
</worksheet>
</file>

<file path=xl/worksheets/sheet33.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364</v>
      </c>
      <c r="B1" s="10"/>
      <c r="C1" s="10"/>
      <c r="D1" s="10"/>
      <c r="E1" s="10"/>
      <c r="F1" s="10"/>
      <c r="G1" s="12" t="s">
        <v>365</v>
      </c>
    </row>
    <row r="2" spans="1:7" ht="12.75">
      <c r="A2" s="13" t="s">
        <v>366</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56978</v>
      </c>
      <c r="C6" s="17">
        <v>0</v>
      </c>
      <c r="D6" s="17">
        <v>63023</v>
      </c>
      <c r="E6" s="17">
        <v>63023</v>
      </c>
      <c r="F6" s="17">
        <v>54079</v>
      </c>
      <c r="G6" s="18">
        <f>IF(AND(F65&lt;&gt;0,54079&lt;&gt;0),IF(100*54079/(F65-0)&lt;0.005,"*",100*54079/(F65-0)),0)</f>
        <v>1.974478805359816</v>
      </c>
    </row>
    <row r="7" spans="1:7" ht="12.75">
      <c r="A7" s="11" t="s">
        <v>89</v>
      </c>
      <c r="B7" s="17">
        <v>201687</v>
      </c>
      <c r="C7" s="17">
        <v>0</v>
      </c>
      <c r="D7" s="17">
        <v>208113</v>
      </c>
      <c r="E7" s="17">
        <v>208113</v>
      </c>
      <c r="F7" s="17">
        <v>178578</v>
      </c>
      <c r="G7" s="18">
        <f>IF(AND(F65&lt;&gt;0,178578&lt;&gt;0),IF(100*178578/(F65-0)&lt;0.005,"*",100*178578/(F65-0)),0)</f>
        <v>6.520062798933878</v>
      </c>
    </row>
    <row r="8" spans="1:7" ht="12.75">
      <c r="A8" s="11" t="s">
        <v>90</v>
      </c>
      <c r="B8" s="17">
        <v>83267</v>
      </c>
      <c r="C8" s="17">
        <v>0</v>
      </c>
      <c r="D8" s="17">
        <v>64988</v>
      </c>
      <c r="E8" s="17">
        <v>64988</v>
      </c>
      <c r="F8" s="17">
        <v>55765</v>
      </c>
      <c r="G8" s="18">
        <f>IF(AND(F65&lt;&gt;0,55765&lt;&gt;0),IF(100*55765/(F65-0)&lt;0.005,"*",100*55765/(F65-0)),0)</f>
        <v>2.0360363649640365</v>
      </c>
    </row>
    <row r="9" spans="1:7" ht="12.75">
      <c r="A9" s="11" t="s">
        <v>91</v>
      </c>
      <c r="B9" s="17">
        <v>42984</v>
      </c>
      <c r="C9" s="17">
        <v>0</v>
      </c>
      <c r="D9" s="17">
        <v>41492</v>
      </c>
      <c r="E9" s="17">
        <v>41492</v>
      </c>
      <c r="F9" s="17">
        <v>35603</v>
      </c>
      <c r="G9" s="18">
        <f>IF(AND(F65&lt;&gt;0,35603&lt;&gt;0),IF(100*35603/(F65-0)&lt;0.005,"*",100*35603/(F65-0)),0)</f>
        <v>1.299901420278214</v>
      </c>
    </row>
    <row r="10" spans="1:7" ht="12.75">
      <c r="A10" s="11" t="s">
        <v>92</v>
      </c>
      <c r="B10" s="17">
        <v>246658</v>
      </c>
      <c r="C10" s="17">
        <v>0</v>
      </c>
      <c r="D10" s="17">
        <v>262270</v>
      </c>
      <c r="E10" s="17">
        <v>262270</v>
      </c>
      <c r="F10" s="17">
        <v>225048</v>
      </c>
      <c r="G10" s="18">
        <f>IF(AND(F65&lt;&gt;0,225048&lt;&gt;0),IF(100*225048/(F65-0)&lt;0.005,"*",100*225048/(F65-0)),0)</f>
        <v>8.216729343897185</v>
      </c>
    </row>
    <row r="11" spans="1:7" ht="12.75">
      <c r="A11" s="11" t="s">
        <v>93</v>
      </c>
      <c r="B11" s="17">
        <v>71063</v>
      </c>
      <c r="C11" s="17">
        <v>0</v>
      </c>
      <c r="D11" s="17">
        <v>79800</v>
      </c>
      <c r="E11" s="17">
        <v>79800</v>
      </c>
      <c r="F11" s="17">
        <v>68475</v>
      </c>
      <c r="G11" s="18">
        <f>IF(AND(F65&lt;&gt;0,68475&lt;&gt;0),IF(100*68475/(F65-0)&lt;0.005,"*",100*68475/(F65-0)),0)</f>
        <v>2.5000912775201725</v>
      </c>
    </row>
    <row r="12" spans="1:7" ht="12.75">
      <c r="A12" s="11" t="s">
        <v>94</v>
      </c>
      <c r="B12" s="17">
        <v>17021</v>
      </c>
      <c r="C12" s="17">
        <v>0</v>
      </c>
      <c r="D12" s="17">
        <v>19654</v>
      </c>
      <c r="E12" s="17">
        <v>19654</v>
      </c>
      <c r="F12" s="17">
        <v>16865</v>
      </c>
      <c r="G12" s="18">
        <f>IF(AND(F65&lt;&gt;0,16865&lt;&gt;0),IF(100*16865/(F65-0)&lt;0.005,"*",100*16865/(F65-0)),0)</f>
        <v>0.6157581510825514</v>
      </c>
    </row>
    <row r="13" spans="1:7" ht="12.75">
      <c r="A13" s="11" t="s">
        <v>95</v>
      </c>
      <c r="B13" s="17">
        <v>10107</v>
      </c>
      <c r="C13" s="17">
        <v>0</v>
      </c>
      <c r="D13" s="17">
        <v>8187</v>
      </c>
      <c r="E13" s="17">
        <v>8187</v>
      </c>
      <c r="F13" s="17">
        <v>7025</v>
      </c>
      <c r="G13" s="18">
        <f>IF(AND(F65&lt;&gt;0,7025&lt;&gt;0),IF(100*7025/(F65-0)&lt;0.005,"*",100*7025/(F65-0)),0)</f>
        <v>0.2564898316842528</v>
      </c>
    </row>
    <row r="14" spans="1:7" ht="12.75">
      <c r="A14" s="11" t="s">
        <v>96</v>
      </c>
      <c r="B14" s="17">
        <v>225</v>
      </c>
      <c r="C14" s="17">
        <v>0</v>
      </c>
      <c r="D14" s="17">
        <v>273</v>
      </c>
      <c r="E14" s="17">
        <v>273</v>
      </c>
      <c r="F14" s="17">
        <v>235</v>
      </c>
      <c r="G14" s="18">
        <f>IF(AND(F65&lt;&gt;0,235&lt;&gt;0),IF(100*235/(F65-0)&lt;0.005,"*",100*235/(F65-0)),0)</f>
        <v>0.008580086896199204</v>
      </c>
    </row>
    <row r="15" spans="1:7" ht="12.75">
      <c r="A15" s="11" t="s">
        <v>97</v>
      </c>
      <c r="B15" s="17">
        <v>225</v>
      </c>
      <c r="C15" s="17">
        <v>0</v>
      </c>
      <c r="D15" s="17">
        <v>152586</v>
      </c>
      <c r="E15" s="17">
        <v>152586</v>
      </c>
      <c r="F15" s="17">
        <v>130931</v>
      </c>
      <c r="G15" s="18">
        <f>IF(AND(F65&lt;&gt;0,130931&lt;&gt;0),IF(100*130931/(F65-0)&lt;0.005,"*",100*130931/(F65-0)),0)</f>
        <v>4.780422797473438</v>
      </c>
    </row>
    <row r="16" spans="1:7" ht="12.75">
      <c r="A16" s="11" t="s">
        <v>98</v>
      </c>
      <c r="B16" s="17">
        <v>70149</v>
      </c>
      <c r="C16" s="17">
        <v>0</v>
      </c>
      <c r="D16" s="17">
        <v>71862</v>
      </c>
      <c r="E16" s="17">
        <v>71862</v>
      </c>
      <c r="F16" s="17">
        <v>61663</v>
      </c>
      <c r="G16" s="18">
        <f>IF(AND(F65&lt;&gt;0,61663&lt;&gt;0),IF(100*61663/(F65-0)&lt;0.005,"*",100*61663/(F65-0)),0)</f>
        <v>2.251378290554602</v>
      </c>
    </row>
    <row r="17" spans="1:7" ht="12.75">
      <c r="A17" s="11" t="s">
        <v>99</v>
      </c>
      <c r="B17" s="17">
        <v>29610</v>
      </c>
      <c r="C17" s="17">
        <v>0</v>
      </c>
      <c r="D17" s="17">
        <v>37452</v>
      </c>
      <c r="E17" s="17">
        <v>37452</v>
      </c>
      <c r="F17" s="17">
        <v>32137</v>
      </c>
      <c r="G17" s="18">
        <f>IF(AND(F65&lt;&gt;0,32137&lt;&gt;0),IF(100*32137/(F65-0)&lt;0.005,"*",100*32137/(F65-0)),0)</f>
        <v>1.1733542663112928</v>
      </c>
    </row>
    <row r="18" spans="1:7" ht="12.75">
      <c r="A18" s="11" t="s">
        <v>100</v>
      </c>
      <c r="B18" s="17">
        <v>30855</v>
      </c>
      <c r="C18" s="17">
        <v>0</v>
      </c>
      <c r="D18" s="17">
        <v>29843</v>
      </c>
      <c r="E18" s="17">
        <v>29843</v>
      </c>
      <c r="F18" s="17">
        <v>25607</v>
      </c>
      <c r="G18" s="18">
        <f>IF(AND(F65&lt;&gt;0,25607&lt;&gt;0),IF(100*25607/(F65-0)&lt;0.005,"*",100*25607/(F65-0)),0)</f>
        <v>0.9349373836211617</v>
      </c>
    </row>
    <row r="19" spans="1:7" ht="12.75">
      <c r="A19" s="11" t="s">
        <v>101</v>
      </c>
      <c r="B19" s="17">
        <v>155705</v>
      </c>
      <c r="C19" s="17">
        <v>0</v>
      </c>
      <c r="D19" s="17">
        <v>160989</v>
      </c>
      <c r="E19" s="17">
        <v>160989</v>
      </c>
      <c r="F19" s="17">
        <v>138142</v>
      </c>
      <c r="G19" s="18">
        <f>IF(AND(F65&lt;&gt;0,138142&lt;&gt;0),IF(100*138142/(F65-0)&lt;0.005,"*",100*138142/(F65-0)),0)</f>
        <v>5.043703676658512</v>
      </c>
    </row>
    <row r="20" spans="1:7" ht="12.75">
      <c r="A20" s="11" t="s">
        <v>102</v>
      </c>
      <c r="B20" s="17">
        <v>71409</v>
      </c>
      <c r="C20" s="17">
        <v>0</v>
      </c>
      <c r="D20" s="17">
        <v>65361</v>
      </c>
      <c r="E20" s="17">
        <v>65361</v>
      </c>
      <c r="F20" s="17">
        <v>56085</v>
      </c>
      <c r="G20" s="18">
        <f>IF(AND(F65&lt;&gt;0,56085&lt;&gt;0),IF(100*56085/(F65-0)&lt;0.005,"*",100*56085/(F65-0)),0)</f>
        <v>2.047719887546095</v>
      </c>
    </row>
    <row r="21" spans="1:7" ht="12.75">
      <c r="A21" s="11" t="s">
        <v>103</v>
      </c>
      <c r="B21" s="17">
        <v>50041</v>
      </c>
      <c r="C21" s="17">
        <v>0</v>
      </c>
      <c r="D21" s="17">
        <v>46781</v>
      </c>
      <c r="E21" s="17">
        <v>46781</v>
      </c>
      <c r="F21" s="17">
        <v>40142</v>
      </c>
      <c r="G21" s="18">
        <f>IF(AND(F65&lt;&gt;0,40142&lt;&gt;0),IF(100*40142/(F65-0)&lt;0.005,"*",100*40142/(F65-0)),0)</f>
        <v>1.4656248859030998</v>
      </c>
    </row>
    <row r="22" spans="1:7" ht="12.75">
      <c r="A22" s="11" t="s">
        <v>104</v>
      </c>
      <c r="B22" s="17">
        <v>26546</v>
      </c>
      <c r="C22" s="17">
        <v>0</v>
      </c>
      <c r="D22" s="17">
        <v>38229</v>
      </c>
      <c r="E22" s="17">
        <v>38229</v>
      </c>
      <c r="F22" s="17">
        <v>32803</v>
      </c>
      <c r="G22" s="18">
        <f>IF(AND(F65&lt;&gt;0,32803&lt;&gt;0),IF(100*32803/(F65-0)&lt;0.005,"*",100*32803/(F65-0)),0)</f>
        <v>1.197670597685202</v>
      </c>
    </row>
    <row r="23" spans="1:7" ht="12.75">
      <c r="A23" s="11" t="s">
        <v>105</v>
      </c>
      <c r="B23" s="17">
        <v>33187</v>
      </c>
      <c r="C23" s="17">
        <v>0</v>
      </c>
      <c r="D23" s="17">
        <v>47548</v>
      </c>
      <c r="E23" s="17">
        <v>47548</v>
      </c>
      <c r="F23" s="17">
        <v>40800</v>
      </c>
      <c r="G23" s="18">
        <f>IF(AND(F65&lt;&gt;0,40800&lt;&gt;0),IF(100*40800/(F65-0)&lt;0.005,"*",100*40800/(F65-0)),0)</f>
        <v>1.4896491292124576</v>
      </c>
    </row>
    <row r="24" spans="1:7" ht="12.75">
      <c r="A24" s="11" t="s">
        <v>106</v>
      </c>
      <c r="B24" s="17">
        <v>69739</v>
      </c>
      <c r="C24" s="17">
        <v>0</v>
      </c>
      <c r="D24" s="17">
        <v>50556</v>
      </c>
      <c r="E24" s="17">
        <v>50556</v>
      </c>
      <c r="F24" s="17">
        <v>43381</v>
      </c>
      <c r="G24" s="18">
        <f>IF(AND(F65&lt;&gt;0,43381&lt;&gt;0),IF(100*43381/(F65-0)&lt;0.005,"*",100*43381/(F65-0)),0)</f>
        <v>1.583884041038373</v>
      </c>
    </row>
    <row r="25" spans="1:7" ht="12.75">
      <c r="A25" s="11" t="s">
        <v>107</v>
      </c>
      <c r="B25" s="17">
        <v>21863</v>
      </c>
      <c r="C25" s="17">
        <v>0</v>
      </c>
      <c r="D25" s="17">
        <v>21860</v>
      </c>
      <c r="E25" s="17">
        <v>21860</v>
      </c>
      <c r="F25" s="17">
        <v>18757</v>
      </c>
      <c r="G25" s="18">
        <f>IF(AND(F65&lt;&gt;0,18757&lt;&gt;0),IF(100*18757/(F65-0)&lt;0.005,"*",100*18757/(F65-0)),0)</f>
        <v>0.6848369783489722</v>
      </c>
    </row>
    <row r="26" spans="1:7" ht="12.75">
      <c r="A26" s="11" t="s">
        <v>108</v>
      </c>
      <c r="B26" s="17">
        <v>32947</v>
      </c>
      <c r="C26" s="17">
        <v>0</v>
      </c>
      <c r="D26" s="17">
        <v>35418</v>
      </c>
      <c r="E26" s="17">
        <v>35418</v>
      </c>
      <c r="F26" s="17">
        <v>30391</v>
      </c>
      <c r="G26" s="18">
        <f>IF(AND(F65&lt;&gt;0,30391&lt;&gt;0),IF(100*30391/(F65-0)&lt;0.005,"*",100*30391/(F65-0)),0)</f>
        <v>1.1096060462229362</v>
      </c>
    </row>
    <row r="27" spans="1:7" ht="12.75">
      <c r="A27" s="11" t="s">
        <v>109</v>
      </c>
      <c r="B27" s="17">
        <v>53002</v>
      </c>
      <c r="C27" s="17">
        <v>0</v>
      </c>
      <c r="D27" s="17">
        <v>45670</v>
      </c>
      <c r="E27" s="17">
        <v>45670</v>
      </c>
      <c r="F27" s="17">
        <v>39188</v>
      </c>
      <c r="G27" s="18">
        <f>IF(AND(F65&lt;&gt;0,39188&lt;&gt;0),IF(100*39188/(F65-0)&lt;0.005,"*",100*39188/(F65-0)),0)</f>
        <v>1.430793384205338</v>
      </c>
    </row>
    <row r="28" spans="1:7" ht="12.75">
      <c r="A28" s="11" t="s">
        <v>110</v>
      </c>
      <c r="B28" s="17">
        <v>66435</v>
      </c>
      <c r="C28" s="17">
        <v>0</v>
      </c>
      <c r="D28" s="17">
        <v>74027</v>
      </c>
      <c r="E28" s="17">
        <v>74027</v>
      </c>
      <c r="F28" s="17">
        <v>63521</v>
      </c>
      <c r="G28" s="18">
        <f>IF(AND(F65&lt;&gt;0,63521&lt;&gt;0),IF(100*63521/(F65-0)&lt;0.005,"*",100*63521/(F65-0)),0)</f>
        <v>2.319215743546679</v>
      </c>
    </row>
    <row r="29" spans="1:7" ht="12.75">
      <c r="A29" s="11" t="s">
        <v>111</v>
      </c>
      <c r="B29" s="17">
        <v>54057</v>
      </c>
      <c r="C29" s="17">
        <v>0</v>
      </c>
      <c r="D29" s="17">
        <v>46153</v>
      </c>
      <c r="E29" s="17">
        <v>46153</v>
      </c>
      <c r="F29" s="17">
        <v>39603</v>
      </c>
      <c r="G29" s="18">
        <f>IF(AND(F65&lt;&gt;0,39603&lt;&gt;0),IF(100*39603/(F65-0)&lt;0.005,"*",100*39603/(F65-0)),0)</f>
        <v>1.445945452553945</v>
      </c>
    </row>
    <row r="30" spans="1:7" ht="12.75">
      <c r="A30" s="11" t="s">
        <v>112</v>
      </c>
      <c r="B30" s="17">
        <v>30941</v>
      </c>
      <c r="C30" s="17">
        <v>0</v>
      </c>
      <c r="D30" s="17">
        <v>33763</v>
      </c>
      <c r="E30" s="17">
        <v>33763</v>
      </c>
      <c r="F30" s="17">
        <v>28971</v>
      </c>
      <c r="G30" s="18">
        <f>IF(AND(F65&lt;&gt;0,28971&lt;&gt;0),IF(100*28971/(F65-0)&lt;0.005,"*",100*28971/(F65-0)),0)</f>
        <v>1.0577604147650517</v>
      </c>
    </row>
    <row r="31" spans="1:7" ht="12.75">
      <c r="A31" s="11" t="s">
        <v>113</v>
      </c>
      <c r="B31" s="17">
        <v>69570</v>
      </c>
      <c r="C31" s="17">
        <v>0</v>
      </c>
      <c r="D31" s="17">
        <v>50518</v>
      </c>
      <c r="E31" s="17">
        <v>50518</v>
      </c>
      <c r="F31" s="17">
        <v>43348</v>
      </c>
      <c r="G31" s="18">
        <f>IF(AND(F65&lt;&gt;0,43348&lt;&gt;0),IF(100*43348/(F65-0)&lt;0.005,"*",100*43348/(F65-0)),0)</f>
        <v>1.5826791777720983</v>
      </c>
    </row>
    <row r="32" spans="1:7" ht="12.75">
      <c r="A32" s="11" t="s">
        <v>114</v>
      </c>
      <c r="B32" s="17">
        <v>42194</v>
      </c>
      <c r="C32" s="17">
        <v>0</v>
      </c>
      <c r="D32" s="17">
        <v>35206</v>
      </c>
      <c r="E32" s="17">
        <v>35206</v>
      </c>
      <c r="F32" s="17">
        <v>30210</v>
      </c>
      <c r="G32" s="18">
        <f>IF(AND(F65&lt;&gt;0,30210&lt;&gt;0),IF(100*30210/(F65-0)&lt;0.005,"*",100*30210/(F65-0)),0)</f>
        <v>1.1029975537624594</v>
      </c>
    </row>
    <row r="33" spans="1:7" ht="12.75">
      <c r="A33" s="11" t="s">
        <v>115</v>
      </c>
      <c r="B33" s="17">
        <v>25041</v>
      </c>
      <c r="C33" s="17">
        <v>0</v>
      </c>
      <c r="D33" s="17">
        <v>38364</v>
      </c>
      <c r="E33" s="17">
        <v>38364</v>
      </c>
      <c r="F33" s="17">
        <v>32920</v>
      </c>
      <c r="G33" s="18">
        <f>IF(AND(F65&lt;&gt;0,32920&lt;&gt;0),IF(100*32920/(F65-0)&lt;0.005,"*",100*32920/(F65-0)),0)</f>
        <v>1.2019423856292673</v>
      </c>
    </row>
    <row r="34" spans="1:7" ht="12.75">
      <c r="A34" s="11" t="s">
        <v>116</v>
      </c>
      <c r="B34" s="17">
        <v>49719</v>
      </c>
      <c r="C34" s="17">
        <v>0</v>
      </c>
      <c r="D34" s="17">
        <v>40549</v>
      </c>
      <c r="E34" s="17">
        <v>40549</v>
      </c>
      <c r="F34" s="17">
        <v>34794</v>
      </c>
      <c r="G34" s="18">
        <f>IF(AND(F65&lt;&gt;0,34794&lt;&gt;0),IF(100*34794/(F65-0)&lt;0.005,"*",100*34794/(F65-0)),0)</f>
        <v>1.2703640147504474</v>
      </c>
    </row>
    <row r="35" spans="1:7" ht="12.75">
      <c r="A35" s="11" t="s">
        <v>117</v>
      </c>
      <c r="B35" s="17">
        <v>11048</v>
      </c>
      <c r="C35" s="17">
        <v>0</v>
      </c>
      <c r="D35" s="17">
        <v>11538</v>
      </c>
      <c r="E35" s="17">
        <v>11538</v>
      </c>
      <c r="F35" s="17">
        <v>9900</v>
      </c>
      <c r="G35" s="18">
        <f>IF(AND(F65&lt;&gt;0,9900&lt;&gt;0),IF(100*9900/(F65-0)&lt;0.005,"*",100*9900/(F65-0)),0)</f>
        <v>0.36145897988243453</v>
      </c>
    </row>
    <row r="36" spans="1:7" ht="12.75">
      <c r="A36" s="11" t="s">
        <v>118</v>
      </c>
      <c r="B36" s="17">
        <v>37278</v>
      </c>
      <c r="C36" s="17">
        <v>0</v>
      </c>
      <c r="D36" s="17">
        <v>26838</v>
      </c>
      <c r="E36" s="17">
        <v>26838</v>
      </c>
      <c r="F36" s="17">
        <v>23029</v>
      </c>
      <c r="G36" s="18">
        <f>IF(AND(F65&lt;&gt;0,23029&lt;&gt;0),IF(100*23029/(F65-0)&lt;0.005,"*",100*23029/(F65-0)),0)</f>
        <v>0.8408120048194531</v>
      </c>
    </row>
    <row r="37" spans="1:7" ht="12.75">
      <c r="A37" s="11" t="s">
        <v>119</v>
      </c>
      <c r="B37" s="17">
        <v>45322</v>
      </c>
      <c r="C37" s="17">
        <v>0</v>
      </c>
      <c r="D37" s="17">
        <v>31446</v>
      </c>
      <c r="E37" s="17">
        <v>31446</v>
      </c>
      <c r="F37" s="17">
        <v>26983</v>
      </c>
      <c r="G37" s="18">
        <f>IF(AND(F65&lt;&gt;0,26983&lt;&gt;0),IF(100*26983/(F65-0)&lt;0.005,"*",100*26983/(F65-0)),0)</f>
        <v>0.9851765307240133</v>
      </c>
    </row>
    <row r="38" spans="1:7" ht="12.75">
      <c r="A38" s="11" t="s">
        <v>120</v>
      </c>
      <c r="B38" s="17">
        <v>109499</v>
      </c>
      <c r="C38" s="17">
        <v>0</v>
      </c>
      <c r="D38" s="17">
        <v>106135</v>
      </c>
      <c r="E38" s="17">
        <v>106135</v>
      </c>
      <c r="F38" s="17">
        <v>91073</v>
      </c>
      <c r="G38" s="18">
        <f>IF(AND(F65&lt;&gt;0,91073&lt;&gt;0),IF(100*91073/(F65-0)&lt;0.005,"*",100*91073/(F65-0)),0)</f>
        <v>3.3251670378619154</v>
      </c>
    </row>
    <row r="39" spans="1:7" ht="12.75">
      <c r="A39" s="11" t="s">
        <v>121</v>
      </c>
      <c r="B39" s="17">
        <v>70447</v>
      </c>
      <c r="C39" s="17">
        <v>0</v>
      </c>
      <c r="D39" s="17">
        <v>81155</v>
      </c>
      <c r="E39" s="17">
        <v>81155</v>
      </c>
      <c r="F39" s="17">
        <v>69638</v>
      </c>
      <c r="G39" s="18">
        <f>IF(AND(F65&lt;&gt;0,69638&lt;&gt;0),IF(100*69638/(F65-0)&lt;0.005,"*",100*69638/(F65-0)),0)</f>
        <v>2.5425535799043413</v>
      </c>
    </row>
    <row r="40" spans="1:7" ht="12.75">
      <c r="A40" s="11" t="s">
        <v>122</v>
      </c>
      <c r="B40" s="17">
        <v>64000</v>
      </c>
      <c r="C40" s="17">
        <v>0</v>
      </c>
      <c r="D40" s="17">
        <v>49778</v>
      </c>
      <c r="E40" s="17">
        <v>49778</v>
      </c>
      <c r="F40" s="17">
        <v>42713</v>
      </c>
      <c r="G40" s="18">
        <f>IF(AND(F65&lt;&gt;0,42713&lt;&gt;0),IF(100*42713/(F65-0)&lt;0.005,"*",100*42713/(F65-0)),0)</f>
        <v>1.559494687648326</v>
      </c>
    </row>
    <row r="41" spans="1:7" ht="12.75">
      <c r="A41" s="11" t="s">
        <v>123</v>
      </c>
      <c r="B41" s="17">
        <v>83752</v>
      </c>
      <c r="C41" s="17">
        <v>0</v>
      </c>
      <c r="D41" s="17">
        <v>61992</v>
      </c>
      <c r="E41" s="17">
        <v>61992</v>
      </c>
      <c r="F41" s="17">
        <v>53194</v>
      </c>
      <c r="G41" s="18">
        <f>IF(AND(F65&lt;&gt;0,53194&lt;&gt;0),IF(100*53194/(F65-0)&lt;0.005,"*",100*53194/(F65-0)),0)</f>
        <v>1.9421665632188105</v>
      </c>
    </row>
    <row r="42" spans="1:7" ht="12.75">
      <c r="A42" s="11" t="s">
        <v>124</v>
      </c>
      <c r="B42" s="17">
        <v>31120</v>
      </c>
      <c r="C42" s="17">
        <v>0</v>
      </c>
      <c r="D42" s="17">
        <v>37918</v>
      </c>
      <c r="E42" s="17">
        <v>37918</v>
      </c>
      <c r="F42" s="17">
        <v>32536</v>
      </c>
      <c r="G42" s="18">
        <f>IF(AND(F65&lt;&gt;0,32536&lt;&gt;0),IF(100*32536/(F65-0)&lt;0.005,"*",100*32536/(F65-0)),0)</f>
        <v>1.187922158530797</v>
      </c>
    </row>
    <row r="43" spans="1:7" ht="12.75">
      <c r="A43" s="11" t="s">
        <v>125</v>
      </c>
      <c r="B43" s="17">
        <v>52012</v>
      </c>
      <c r="C43" s="17">
        <v>0</v>
      </c>
      <c r="D43" s="17">
        <v>49188</v>
      </c>
      <c r="E43" s="17">
        <v>49188</v>
      </c>
      <c r="F43" s="17">
        <v>42207</v>
      </c>
      <c r="G43" s="18">
        <f>IF(AND(F65&lt;&gt;0,42207&lt;&gt;0),IF(100*42207/(F65-0)&lt;0.005,"*",100*42207/(F65-0)),0)</f>
        <v>1.5410201175654459</v>
      </c>
    </row>
    <row r="44" spans="1:7" ht="12.75">
      <c r="A44" s="11" t="s">
        <v>126</v>
      </c>
      <c r="B44" s="17">
        <v>65624</v>
      </c>
      <c r="C44" s="17">
        <v>0</v>
      </c>
      <c r="D44" s="17">
        <v>67303</v>
      </c>
      <c r="E44" s="17">
        <v>67303</v>
      </c>
      <c r="F44" s="17">
        <v>57751</v>
      </c>
      <c r="G44" s="18">
        <f>IF(AND(F65&lt;&gt;0,57751&lt;&gt;0),IF(100*57751/(F65-0)&lt;0.005,"*",100*57751/(F65-0)),0)</f>
        <v>2.108547226988937</v>
      </c>
    </row>
    <row r="45" spans="1:7" ht="12.75">
      <c r="A45" s="11" t="s">
        <v>127</v>
      </c>
      <c r="B45" s="17">
        <v>21028</v>
      </c>
      <c r="C45" s="17">
        <v>0</v>
      </c>
      <c r="D45" s="17">
        <v>22471</v>
      </c>
      <c r="E45" s="17">
        <v>22471</v>
      </c>
      <c r="F45" s="17">
        <v>19282</v>
      </c>
      <c r="G45" s="18">
        <f>IF(AND(F65&lt;&gt;0,19282&lt;&gt;0),IF(100*19282/(F65-0)&lt;0.005,"*",100*19282/(F65-0)),0)</f>
        <v>0.704005257585162</v>
      </c>
    </row>
    <row r="46" spans="1:7" ht="12.75">
      <c r="A46" s="11" t="s">
        <v>128</v>
      </c>
      <c r="B46" s="17">
        <v>63448</v>
      </c>
      <c r="C46" s="17">
        <v>0</v>
      </c>
      <c r="D46" s="17">
        <v>49985</v>
      </c>
      <c r="E46" s="17">
        <v>49985</v>
      </c>
      <c r="F46" s="17">
        <v>42891</v>
      </c>
      <c r="G46" s="18">
        <f>IF(AND(F65&lt;&gt;0,42891&lt;&gt;0),IF(100*42891/(F65-0)&lt;0.005,"*",100*42891/(F65-0)),0)</f>
        <v>1.565993647084596</v>
      </c>
    </row>
    <row r="47" spans="1:7" ht="12.75">
      <c r="A47" s="11" t="s">
        <v>129</v>
      </c>
      <c r="B47" s="17">
        <v>20432</v>
      </c>
      <c r="C47" s="17">
        <v>0</v>
      </c>
      <c r="D47" s="17">
        <v>23983</v>
      </c>
      <c r="E47" s="17">
        <v>23983</v>
      </c>
      <c r="F47" s="17">
        <v>20579</v>
      </c>
      <c r="G47" s="18">
        <f>IF(AND(F65&lt;&gt;0,20579&lt;&gt;0),IF(100*20579/(F65-0)&lt;0.005,"*",100*20579/(F65-0)),0)</f>
        <v>0.7513600350505677</v>
      </c>
    </row>
    <row r="48" spans="1:7" ht="12.75">
      <c r="A48" s="11" t="s">
        <v>130</v>
      </c>
      <c r="B48" s="17">
        <v>55516</v>
      </c>
      <c r="C48" s="17">
        <v>0</v>
      </c>
      <c r="D48" s="17">
        <v>71870</v>
      </c>
      <c r="E48" s="17">
        <v>71870</v>
      </c>
      <c r="F48" s="17">
        <v>61670</v>
      </c>
      <c r="G48" s="18">
        <f>IF(AND(F65&lt;&gt;0,61670&lt;&gt;0),IF(100*61670/(F65-0)&lt;0.005,"*",100*61670/(F65-0)),0)</f>
        <v>2.2516338676110847</v>
      </c>
    </row>
    <row r="49" spans="1:7" ht="12.75">
      <c r="A49" s="11" t="s">
        <v>131</v>
      </c>
      <c r="B49" s="17">
        <v>274801</v>
      </c>
      <c r="C49" s="17">
        <v>0</v>
      </c>
      <c r="D49" s="17">
        <v>228238</v>
      </c>
      <c r="E49" s="17">
        <v>228238</v>
      </c>
      <c r="F49" s="17">
        <v>195846</v>
      </c>
      <c r="G49" s="18">
        <f>IF(AND(F65&lt;&gt;0,195846&lt;&gt;0),IF(100*195846/(F65-0)&lt;0.005,"*",100*195846/(F65-0)),0)</f>
        <v>7.150534886268209</v>
      </c>
    </row>
    <row r="50" spans="1:7" ht="12.75">
      <c r="A50" s="11" t="s">
        <v>132</v>
      </c>
      <c r="B50" s="17">
        <v>44572</v>
      </c>
      <c r="C50" s="17">
        <v>0</v>
      </c>
      <c r="D50" s="17">
        <v>51748</v>
      </c>
      <c r="E50" s="17">
        <v>51748</v>
      </c>
      <c r="F50" s="17">
        <v>44404</v>
      </c>
      <c r="G50" s="18">
        <f>IF(AND(F65&lt;&gt;0,44404&lt;&gt;0),IF(100*44404/(F65-0)&lt;0.005,"*",100*44404/(F65-0)),0)</f>
        <v>1.6212348022928913</v>
      </c>
    </row>
    <row r="51" spans="1:7" ht="12.75">
      <c r="A51" s="11" t="s">
        <v>133</v>
      </c>
      <c r="B51" s="17">
        <v>15810</v>
      </c>
      <c r="C51" s="17">
        <v>0</v>
      </c>
      <c r="D51" s="17">
        <v>17499</v>
      </c>
      <c r="E51" s="17">
        <v>17499</v>
      </c>
      <c r="F51" s="17">
        <v>15016</v>
      </c>
      <c r="G51" s="18">
        <f>IF(AND(F65&lt;&gt;0,15016&lt;&gt;0),IF(100*15016/(F65-0)&lt;0.005,"*",100*15016/(F65-0)),0)</f>
        <v>0.5482492971630947</v>
      </c>
    </row>
    <row r="52" spans="1:7" ht="12.75">
      <c r="A52" s="11" t="s">
        <v>134</v>
      </c>
      <c r="B52" s="17">
        <v>62625</v>
      </c>
      <c r="C52" s="17">
        <v>0</v>
      </c>
      <c r="D52" s="17">
        <v>77884</v>
      </c>
      <c r="E52" s="17">
        <v>77884</v>
      </c>
      <c r="F52" s="17">
        <v>66831</v>
      </c>
      <c r="G52" s="18">
        <f>IF(AND(F65&lt;&gt;0,66831&lt;&gt;0),IF(100*66831/(F65-0)&lt;0.005,"*",100*66831/(F65-0)),0)</f>
        <v>2.440067180254847</v>
      </c>
    </row>
    <row r="53" spans="1:7" ht="12.75">
      <c r="A53" s="11" t="s">
        <v>135</v>
      </c>
      <c r="B53" s="17">
        <v>75892</v>
      </c>
      <c r="C53" s="17">
        <v>0</v>
      </c>
      <c r="D53" s="17">
        <v>79441</v>
      </c>
      <c r="E53" s="17">
        <v>79441</v>
      </c>
      <c r="F53" s="17">
        <v>68166</v>
      </c>
      <c r="G53" s="18">
        <f>IF(AND(F65&lt;&gt;0,68166&lt;&gt;0),IF(100*68166/(F65-0)&lt;0.005,"*",100*68166/(F65-0)),0)</f>
        <v>2.488809376026872</v>
      </c>
    </row>
    <row r="54" spans="1:7" ht="12.75">
      <c r="A54" s="11" t="s">
        <v>136</v>
      </c>
      <c r="B54" s="17">
        <v>17899</v>
      </c>
      <c r="C54" s="17">
        <v>0</v>
      </c>
      <c r="D54" s="17">
        <v>19464</v>
      </c>
      <c r="E54" s="17">
        <v>19464</v>
      </c>
      <c r="F54" s="17">
        <v>16702</v>
      </c>
      <c r="G54" s="18">
        <f>IF(AND(F65&lt;&gt;0,16702&lt;&gt;0),IF(100*16702/(F65-0)&lt;0.005,"*",100*16702/(F65-0)),0)</f>
        <v>0.6098068567673154</v>
      </c>
    </row>
    <row r="55" spans="1:7" ht="12.75">
      <c r="A55" s="11" t="s">
        <v>137</v>
      </c>
      <c r="B55" s="17">
        <v>41561</v>
      </c>
      <c r="C55" s="17">
        <v>0</v>
      </c>
      <c r="D55" s="17">
        <v>60576</v>
      </c>
      <c r="E55" s="17">
        <v>60576</v>
      </c>
      <c r="F55" s="17">
        <v>51979</v>
      </c>
      <c r="G55" s="18">
        <f>IF(AND(F65&lt;&gt;0,51979&lt;&gt;0),IF(100*51979/(F65-0)&lt;0.005,"*",100*51979/(F65-0)),0)</f>
        <v>1.8978056884150571</v>
      </c>
    </row>
    <row r="56" spans="1:7" ht="12.75">
      <c r="A56" s="11" t="s">
        <v>138</v>
      </c>
      <c r="B56" s="17">
        <v>32808</v>
      </c>
      <c r="C56" s="17">
        <v>0</v>
      </c>
      <c r="D56" s="17">
        <v>29457</v>
      </c>
      <c r="E56" s="17">
        <v>29457</v>
      </c>
      <c r="F56" s="17">
        <v>25276</v>
      </c>
      <c r="G56" s="18">
        <f>IF(AND(F65&lt;&gt;0,25276&lt;&gt;0),IF(100*25276/(F65-0)&lt;0.005,"*",100*25276/(F65-0)),0)</f>
        <v>0.922852239950345</v>
      </c>
    </row>
    <row r="57" spans="1:7" ht="12.75">
      <c r="A57" s="11" t="s">
        <v>139</v>
      </c>
      <c r="B57" s="17">
        <v>1000</v>
      </c>
      <c r="C57" s="17">
        <v>0</v>
      </c>
      <c r="D57" s="17">
        <v>3802</v>
      </c>
      <c r="E57" s="17">
        <v>3802</v>
      </c>
      <c r="F57" s="17">
        <v>3262</v>
      </c>
      <c r="G57" s="18">
        <f>IF(AND(F65&lt;&gt;0,3262&lt;&gt;0),IF(100*3262/(F65-0)&lt;0.005,"*",100*3262/(F65-0)),0)</f>
        <v>0.11909890832085875</v>
      </c>
    </row>
    <row r="58" spans="1:7" ht="12.75">
      <c r="A58" s="11" t="s">
        <v>140</v>
      </c>
      <c r="B58" s="17">
        <v>6592</v>
      </c>
      <c r="C58" s="17">
        <v>0</v>
      </c>
      <c r="D58" s="17">
        <v>6197</v>
      </c>
      <c r="E58" s="17">
        <v>6197</v>
      </c>
      <c r="F58" s="17">
        <v>5317</v>
      </c>
      <c r="G58" s="18">
        <f>IF(AND(F65&lt;&gt;0,5317&lt;&gt;0),IF(100*5317/(F65-0)&lt;0.005,"*",100*5317/(F65-0)),0)</f>
        <v>0.1941290299025156</v>
      </c>
    </row>
    <row r="59" spans="1:7" ht="12.75">
      <c r="A59" s="11" t="s">
        <v>141</v>
      </c>
      <c r="B59" s="17">
        <v>5404</v>
      </c>
      <c r="C59" s="17">
        <v>0</v>
      </c>
      <c r="D59" s="17">
        <v>8470</v>
      </c>
      <c r="E59" s="17">
        <v>8470</v>
      </c>
      <c r="F59" s="17">
        <v>7268</v>
      </c>
      <c r="G59" s="18">
        <f>IF(AND(F65&lt;&gt;0,7268&lt;&gt;0),IF(100*7268/(F65-0)&lt;0.005,"*",100*7268/(F65-0)),0)</f>
        <v>0.2653620066450035</v>
      </c>
    </row>
    <row r="60" spans="1:7" ht="12.75">
      <c r="A60" s="11" t="s">
        <v>142</v>
      </c>
      <c r="B60" s="17">
        <v>7546</v>
      </c>
      <c r="C60" s="17">
        <v>0</v>
      </c>
      <c r="D60" s="17">
        <v>14991</v>
      </c>
      <c r="E60" s="17">
        <v>14991</v>
      </c>
      <c r="F60" s="17">
        <v>12864</v>
      </c>
      <c r="G60" s="18">
        <f>IF(AND(F65&lt;&gt;0,12864&lt;&gt;0),IF(100*12864/(F65-0)&lt;0.005,"*",100*12864/(F65-0)),0)</f>
        <v>0.46967760779875134</v>
      </c>
    </row>
    <row r="61" spans="1:7" ht="12.75">
      <c r="A61" s="11" t="s">
        <v>143</v>
      </c>
      <c r="B61" s="17">
        <v>33056</v>
      </c>
      <c r="C61" s="17">
        <v>0</v>
      </c>
      <c r="D61" s="17">
        <v>23960</v>
      </c>
      <c r="E61" s="17">
        <v>23960</v>
      </c>
      <c r="F61" s="17">
        <v>20559</v>
      </c>
      <c r="G61" s="18">
        <f>IF(AND(F65&lt;&gt;0,20559&lt;&gt;0),IF(100*20559/(F65-0)&lt;0.005,"*",100*20559/(F65-0)),0)</f>
        <v>0.7506298148891891</v>
      </c>
    </row>
    <row r="62" spans="1:7" ht="12.75">
      <c r="A62" s="11" t="s">
        <v>144</v>
      </c>
      <c r="B62" s="17">
        <v>7830</v>
      </c>
      <c r="C62" s="17">
        <v>0</v>
      </c>
      <c r="D62" s="17">
        <v>8038</v>
      </c>
      <c r="E62" s="17">
        <v>8038</v>
      </c>
      <c r="F62" s="17">
        <v>6897</v>
      </c>
      <c r="G62" s="18">
        <f>IF(AND(F65&lt;&gt;0,6897&lt;&gt;0),IF(100*6897/(F65-0)&lt;0.005,"*",100*6897/(F65-0)),0)</f>
        <v>0.2518164226514294</v>
      </c>
    </row>
    <row r="63" spans="1:7" ht="12.75">
      <c r="A63" s="11" t="s">
        <v>145</v>
      </c>
      <c r="B63" s="17">
        <v>0</v>
      </c>
      <c r="C63" s="17">
        <v>0</v>
      </c>
      <c r="D63" s="17">
        <v>0</v>
      </c>
      <c r="E63" s="17">
        <v>0</v>
      </c>
      <c r="F63" s="17">
        <v>0</v>
      </c>
      <c r="G63" s="18">
        <f>IF(AND(F65&lt;&gt;0,0&lt;&gt;0),IF(100*0/(F65-0)&lt;0.005,"*",100*0/(F65-0)),0)</f>
        <v>0</v>
      </c>
    </row>
    <row r="64" spans="1:7" ht="12.75">
      <c r="A64" s="11" t="s">
        <v>146</v>
      </c>
      <c r="B64" s="17">
        <v>0</v>
      </c>
      <c r="C64" s="17">
        <v>0</v>
      </c>
      <c r="D64" s="17">
        <v>0</v>
      </c>
      <c r="E64" s="17">
        <v>0</v>
      </c>
      <c r="F64" s="17">
        <v>0</v>
      </c>
      <c r="G64" s="18">
        <v>0</v>
      </c>
    </row>
    <row r="65" spans="1:7" ht="15" customHeight="1">
      <c r="A65" s="19" t="s">
        <v>87</v>
      </c>
      <c r="B65" s="20">
        <f>56978+201687+83267+42984+246658+71063+17021+10107+225+225+70149+29610+30855+155705+71409+50041+26546+33187+69739+21863+32947+53002+66435+54057+30941+69570+42194+25041+49719+11048+37278+45322+109499+70447+64000+83752+31120+52012+65624+21028+63448+20432+55516+274801+44572+15810+62625+75892+17899+41561+32808+1000+6592+5404+7546+33056+7830+0+0+0</f>
        <v>3071147</v>
      </c>
      <c r="C65" s="20">
        <f>0+0+0+0+0+0+0+0+0+0+0+0+0+0+0+0+0+0+0+0+0+0+0+0+0+0+0+0+0+0+0+0+0+0+0+0+0+0+0+0+0+0+0+0+0+0+0+0+0+0+0+0+0+0+0+0+0+0+0+0</f>
        <v>0</v>
      </c>
      <c r="D65" s="20">
        <f>63023+208113+64988+41492+262270+79800+19654+8187+273+152586+71862+37452+29843+160989+65361+46781+38229+47548+50556+21860+35418+45670+74027+46153+33763+50518+35206+38364+40549+11538+26838+31446+106135+81155+49778+61992+37918+49188+67303+22471+49985+23983+71870+228238+51748+17499+77884+79441+19464+60576+29457+3802+6197+8470+14991+23960+8038+0+0+0</f>
        <v>3191900</v>
      </c>
      <c r="E65" s="20">
        <f>SUM(C65:D65)</f>
        <v>3191900</v>
      </c>
      <c r="F65" s="20">
        <f>54079+178578+55765+35603+225048+68475+16865+7025+235+130931+61663+32137+25607+138142+56085+40142+32803+40800+43381+18757+30391+39188+63521+39603+28971+43348+30210+32920+34794+9900+23029+26983+91073+69638+42713+53194+32536+42207+57751+19282+42891+20579+61670+195846+44404+15016+66831+68166+16702+51979+25276+3262+5317+7268+12864+20559+6897+0+0+0</f>
        <v>2738900</v>
      </c>
      <c r="G65" s="21" t="s">
        <v>147</v>
      </c>
    </row>
    <row r="66" spans="1:7" ht="15" customHeight="1">
      <c r="A66" s="33" t="s">
        <v>148</v>
      </c>
      <c r="B66" s="33"/>
      <c r="C66" s="33"/>
      <c r="D66" s="33"/>
      <c r="E66" s="33"/>
      <c r="F66" s="33"/>
      <c r="G66" s="33"/>
    </row>
    <row r="67" spans="1:7" ht="15" customHeight="1">
      <c r="A67" s="26" t="s">
        <v>149</v>
      </c>
      <c r="B67" s="26"/>
      <c r="C67" s="26"/>
      <c r="D67" s="26"/>
      <c r="E67" s="26"/>
      <c r="F67" s="26"/>
      <c r="G67" s="26"/>
    </row>
  </sheetData>
  <sheetProtection/>
  <mergeCells count="6">
    <mergeCell ref="A67:G67"/>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34.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367</v>
      </c>
      <c r="B1" s="10"/>
      <c r="C1" s="10"/>
      <c r="D1" s="10"/>
      <c r="E1" s="10"/>
      <c r="F1" s="10"/>
      <c r="G1" s="12" t="s">
        <v>368</v>
      </c>
    </row>
    <row r="2" spans="1:7" ht="12.75">
      <c r="A2" s="13" t="s">
        <v>369</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755923</v>
      </c>
      <c r="C6" s="17">
        <v>0</v>
      </c>
      <c r="D6" s="17">
        <v>732590</v>
      </c>
      <c r="E6" s="17">
        <v>732590</v>
      </c>
      <c r="F6" s="17">
        <v>746974</v>
      </c>
      <c r="G6" s="18">
        <v>1.916013805629306</v>
      </c>
    </row>
    <row r="7" spans="1:7" ht="12.75">
      <c r="A7" s="11" t="s">
        <v>89</v>
      </c>
      <c r="B7" s="17">
        <v>500331</v>
      </c>
      <c r="C7" s="17">
        <v>0</v>
      </c>
      <c r="D7" s="17">
        <v>510960</v>
      </c>
      <c r="E7" s="17">
        <v>510960</v>
      </c>
      <c r="F7" s="17">
        <v>493661</v>
      </c>
      <c r="G7" s="18">
        <v>1.2662573145795821</v>
      </c>
    </row>
    <row r="8" spans="1:7" ht="12.75">
      <c r="A8" s="11" t="s">
        <v>90</v>
      </c>
      <c r="B8" s="17">
        <v>823462</v>
      </c>
      <c r="C8" s="17">
        <v>0</v>
      </c>
      <c r="D8" s="17">
        <v>705760</v>
      </c>
      <c r="E8" s="17">
        <v>705760</v>
      </c>
      <c r="F8" s="17">
        <v>720334</v>
      </c>
      <c r="G8" s="18">
        <v>1.8476812963559381</v>
      </c>
    </row>
    <row r="9" spans="1:7" ht="12.75">
      <c r="A9" s="11" t="s">
        <v>91</v>
      </c>
      <c r="B9" s="17">
        <v>526705</v>
      </c>
      <c r="C9" s="17">
        <v>0</v>
      </c>
      <c r="D9" s="17">
        <v>497876</v>
      </c>
      <c r="E9" s="17">
        <v>497876</v>
      </c>
      <c r="F9" s="17">
        <v>509750</v>
      </c>
      <c r="G9" s="18">
        <v>1.3075261487274508</v>
      </c>
    </row>
    <row r="10" spans="1:7" ht="12.75">
      <c r="A10" s="11" t="s">
        <v>92</v>
      </c>
      <c r="B10" s="17">
        <v>3233027</v>
      </c>
      <c r="C10" s="17">
        <v>0</v>
      </c>
      <c r="D10" s="17">
        <v>3657529</v>
      </c>
      <c r="E10" s="17">
        <v>3657529</v>
      </c>
      <c r="F10" s="17">
        <v>3613278</v>
      </c>
      <c r="G10" s="18">
        <v>9.268181397982591</v>
      </c>
    </row>
    <row r="11" spans="1:7" ht="12.75">
      <c r="A11" s="11" t="s">
        <v>93</v>
      </c>
      <c r="B11" s="17">
        <v>524317</v>
      </c>
      <c r="C11" s="17">
        <v>0</v>
      </c>
      <c r="D11" s="17">
        <v>512922</v>
      </c>
      <c r="E11" s="17">
        <v>512922</v>
      </c>
      <c r="F11" s="17">
        <v>735937</v>
      </c>
      <c r="G11" s="18">
        <v>1.8877035239157114</v>
      </c>
    </row>
    <row r="12" spans="1:7" ht="12.75">
      <c r="A12" s="11" t="s">
        <v>94</v>
      </c>
      <c r="B12" s="17">
        <v>470539</v>
      </c>
      <c r="C12" s="17">
        <v>0</v>
      </c>
      <c r="D12" s="17">
        <v>478588</v>
      </c>
      <c r="E12" s="17">
        <v>478588</v>
      </c>
      <c r="F12" s="17">
        <v>494478</v>
      </c>
      <c r="G12" s="18">
        <v>1.2683529474653308</v>
      </c>
    </row>
    <row r="13" spans="1:7" ht="12.75">
      <c r="A13" s="11" t="s">
        <v>95</v>
      </c>
      <c r="B13" s="17">
        <v>182713</v>
      </c>
      <c r="C13" s="17">
        <v>0</v>
      </c>
      <c r="D13" s="17">
        <v>162684</v>
      </c>
      <c r="E13" s="17">
        <v>162684</v>
      </c>
      <c r="F13" s="17">
        <v>166540</v>
      </c>
      <c r="G13" s="18">
        <v>0.42718078432382467</v>
      </c>
    </row>
    <row r="14" spans="1:7" ht="12.75">
      <c r="A14" s="11" t="s">
        <v>96</v>
      </c>
      <c r="B14" s="17">
        <v>185890</v>
      </c>
      <c r="C14" s="17">
        <v>0</v>
      </c>
      <c r="D14" s="17">
        <v>153605</v>
      </c>
      <c r="E14" s="17">
        <v>153605</v>
      </c>
      <c r="F14" s="17">
        <v>157090</v>
      </c>
      <c r="G14" s="18">
        <v>0.4029412117775286</v>
      </c>
    </row>
    <row r="15" spans="1:7" ht="12.75">
      <c r="A15" s="11" t="s">
        <v>97</v>
      </c>
      <c r="B15" s="17">
        <v>1859727</v>
      </c>
      <c r="C15" s="17">
        <v>0</v>
      </c>
      <c r="D15" s="17">
        <v>1826600</v>
      </c>
      <c r="E15" s="17">
        <v>1826600</v>
      </c>
      <c r="F15" s="17">
        <v>1865429</v>
      </c>
      <c r="G15" s="18">
        <v>4.784889055604707</v>
      </c>
    </row>
    <row r="16" spans="1:7" ht="12.75">
      <c r="A16" s="11" t="s">
        <v>98</v>
      </c>
      <c r="B16" s="17">
        <v>1161034</v>
      </c>
      <c r="C16" s="17">
        <v>0</v>
      </c>
      <c r="D16" s="17">
        <v>1243008</v>
      </c>
      <c r="E16" s="17">
        <v>1243008</v>
      </c>
      <c r="F16" s="17">
        <v>1271235</v>
      </c>
      <c r="G16" s="18">
        <v>3.2607611646445136</v>
      </c>
    </row>
    <row r="17" spans="1:7" ht="12.75">
      <c r="A17" s="11" t="s">
        <v>99</v>
      </c>
      <c r="B17" s="17">
        <v>103585</v>
      </c>
      <c r="C17" s="17">
        <v>0</v>
      </c>
      <c r="D17" s="17">
        <v>159403</v>
      </c>
      <c r="E17" s="17">
        <v>159403</v>
      </c>
      <c r="F17" s="17">
        <v>166517</v>
      </c>
      <c r="G17" s="18">
        <v>0.42712178853879135</v>
      </c>
    </row>
    <row r="18" spans="1:7" ht="12.75">
      <c r="A18" s="11" t="s">
        <v>100</v>
      </c>
      <c r="B18" s="17">
        <v>285206</v>
      </c>
      <c r="C18" s="17">
        <v>0</v>
      </c>
      <c r="D18" s="17">
        <v>275638</v>
      </c>
      <c r="E18" s="17">
        <v>275638</v>
      </c>
      <c r="F18" s="17">
        <v>281600</v>
      </c>
      <c r="G18" s="18">
        <v>0.7223136115383033</v>
      </c>
    </row>
    <row r="19" spans="1:7" ht="12.75">
      <c r="A19" s="11" t="s">
        <v>101</v>
      </c>
      <c r="B19" s="17">
        <v>1450296</v>
      </c>
      <c r="C19" s="17">
        <v>0</v>
      </c>
      <c r="D19" s="17">
        <v>1368692</v>
      </c>
      <c r="E19" s="17">
        <v>1368692</v>
      </c>
      <c r="F19" s="17">
        <v>1399719</v>
      </c>
      <c r="G19" s="18">
        <v>3.590327010045392</v>
      </c>
    </row>
    <row r="20" spans="1:7" ht="12.75">
      <c r="A20" s="11" t="s">
        <v>102</v>
      </c>
      <c r="B20" s="17">
        <v>925389</v>
      </c>
      <c r="C20" s="17">
        <v>0</v>
      </c>
      <c r="D20" s="17">
        <v>917581</v>
      </c>
      <c r="E20" s="17">
        <v>917581</v>
      </c>
      <c r="F20" s="17">
        <v>938118</v>
      </c>
      <c r="G20" s="18">
        <v>2.4063046897339846</v>
      </c>
    </row>
    <row r="21" spans="1:7" ht="12.75">
      <c r="A21" s="11" t="s">
        <v>103</v>
      </c>
      <c r="B21" s="17">
        <v>508412</v>
      </c>
      <c r="C21" s="17">
        <v>0</v>
      </c>
      <c r="D21" s="17">
        <v>477169</v>
      </c>
      <c r="E21" s="17">
        <v>477169</v>
      </c>
      <c r="F21" s="17">
        <v>483872</v>
      </c>
      <c r="G21" s="18">
        <v>1.2411481954625778</v>
      </c>
    </row>
    <row r="22" spans="1:7" ht="12.75">
      <c r="A22" s="11" t="s">
        <v>104</v>
      </c>
      <c r="B22" s="17">
        <v>361917</v>
      </c>
      <c r="C22" s="17">
        <v>0</v>
      </c>
      <c r="D22" s="17">
        <v>364198</v>
      </c>
      <c r="E22" s="17">
        <v>364198</v>
      </c>
      <c r="F22" s="17">
        <v>372062</v>
      </c>
      <c r="G22" s="18">
        <v>0.9543517291767195</v>
      </c>
    </row>
    <row r="23" spans="1:7" ht="12.75">
      <c r="A23" s="11" t="s">
        <v>105</v>
      </c>
      <c r="B23" s="17">
        <v>693506</v>
      </c>
      <c r="C23" s="17">
        <v>0</v>
      </c>
      <c r="D23" s="17">
        <v>653734</v>
      </c>
      <c r="E23" s="17">
        <v>653734</v>
      </c>
      <c r="F23" s="17">
        <v>654173</v>
      </c>
      <c r="G23" s="18">
        <v>1.677976073156415</v>
      </c>
    </row>
    <row r="24" spans="1:7" ht="12.75">
      <c r="A24" s="11" t="s">
        <v>106</v>
      </c>
      <c r="B24" s="17">
        <v>701338</v>
      </c>
      <c r="C24" s="17">
        <v>0</v>
      </c>
      <c r="D24" s="17">
        <v>676555</v>
      </c>
      <c r="E24" s="17">
        <v>676555</v>
      </c>
      <c r="F24" s="17">
        <v>691021</v>
      </c>
      <c r="G24" s="18">
        <v>1.7724924508480464</v>
      </c>
    </row>
    <row r="25" spans="1:7" ht="12.75">
      <c r="A25" s="11" t="s">
        <v>107</v>
      </c>
      <c r="B25" s="17">
        <v>202624</v>
      </c>
      <c r="C25" s="17">
        <v>0</v>
      </c>
      <c r="D25" s="17">
        <v>177704</v>
      </c>
      <c r="E25" s="17">
        <v>177704</v>
      </c>
      <c r="F25" s="17">
        <v>181738</v>
      </c>
      <c r="G25" s="18">
        <v>0.46616417306018526</v>
      </c>
    </row>
    <row r="26" spans="1:7" ht="12.75">
      <c r="A26" s="11" t="s">
        <v>108</v>
      </c>
      <c r="B26" s="17">
        <v>576777</v>
      </c>
      <c r="C26" s="17">
        <v>0</v>
      </c>
      <c r="D26" s="17">
        <v>578514</v>
      </c>
      <c r="E26" s="17">
        <v>578514</v>
      </c>
      <c r="F26" s="17">
        <v>591620</v>
      </c>
      <c r="G26" s="18">
        <v>1.5175254931047266</v>
      </c>
    </row>
    <row r="27" spans="1:7" ht="12.75">
      <c r="A27" s="11" t="s">
        <v>109</v>
      </c>
      <c r="B27" s="17">
        <v>614374</v>
      </c>
      <c r="C27" s="17">
        <v>0</v>
      </c>
      <c r="D27" s="17">
        <v>584687</v>
      </c>
      <c r="E27" s="17">
        <v>584687</v>
      </c>
      <c r="F27" s="17">
        <v>597919</v>
      </c>
      <c r="G27" s="18">
        <v>1.5336826431014587</v>
      </c>
    </row>
    <row r="28" spans="1:7" ht="12.75">
      <c r="A28" s="11" t="s">
        <v>110</v>
      </c>
      <c r="B28" s="17">
        <v>1020379</v>
      </c>
      <c r="C28" s="17">
        <v>0</v>
      </c>
      <c r="D28" s="17">
        <v>1015017</v>
      </c>
      <c r="E28" s="17">
        <v>1015017</v>
      </c>
      <c r="F28" s="17">
        <v>1036572</v>
      </c>
      <c r="G28" s="18">
        <v>2.658842560154411</v>
      </c>
    </row>
    <row r="29" spans="1:7" ht="12.75">
      <c r="A29" s="11" t="s">
        <v>111</v>
      </c>
      <c r="B29" s="17">
        <v>676889</v>
      </c>
      <c r="C29" s="17">
        <v>0</v>
      </c>
      <c r="D29" s="17">
        <v>624824</v>
      </c>
      <c r="E29" s="17">
        <v>624824</v>
      </c>
      <c r="F29" s="17">
        <v>641997</v>
      </c>
      <c r="G29" s="18">
        <v>1.6467442175666054</v>
      </c>
    </row>
    <row r="30" spans="1:7" ht="12.75">
      <c r="A30" s="11" t="s">
        <v>112</v>
      </c>
      <c r="B30" s="17">
        <v>502692</v>
      </c>
      <c r="C30" s="17">
        <v>0</v>
      </c>
      <c r="D30" s="17">
        <v>460692</v>
      </c>
      <c r="E30" s="17">
        <v>460692</v>
      </c>
      <c r="F30" s="17">
        <v>476179</v>
      </c>
      <c r="G30" s="18">
        <v>1.2214153878860003</v>
      </c>
    </row>
    <row r="31" spans="1:7" ht="12.75">
      <c r="A31" s="11" t="s">
        <v>113</v>
      </c>
      <c r="B31" s="17">
        <v>896827</v>
      </c>
      <c r="C31" s="17">
        <v>0</v>
      </c>
      <c r="D31" s="17">
        <v>913736</v>
      </c>
      <c r="E31" s="17">
        <v>913736</v>
      </c>
      <c r="F31" s="17">
        <v>932068</v>
      </c>
      <c r="G31" s="18">
        <v>2.390786233236091</v>
      </c>
    </row>
    <row r="32" spans="1:7" ht="12.75">
      <c r="A32" s="11" t="s">
        <v>114</v>
      </c>
      <c r="B32" s="17">
        <v>411036</v>
      </c>
      <c r="C32" s="17">
        <v>0</v>
      </c>
      <c r="D32" s="17">
        <v>393842</v>
      </c>
      <c r="E32" s="17">
        <v>393842</v>
      </c>
      <c r="F32" s="17">
        <v>403956</v>
      </c>
      <c r="G32" s="18">
        <v>1.0361609277790016</v>
      </c>
    </row>
    <row r="33" spans="1:7" ht="12.75">
      <c r="A33" s="11" t="s">
        <v>115</v>
      </c>
      <c r="B33" s="17">
        <v>283014</v>
      </c>
      <c r="C33" s="17">
        <v>0</v>
      </c>
      <c r="D33" s="17">
        <v>280847</v>
      </c>
      <c r="E33" s="17">
        <v>280847</v>
      </c>
      <c r="F33" s="17">
        <v>284576</v>
      </c>
      <c r="G33" s="18">
        <v>0.7299471531147876</v>
      </c>
    </row>
    <row r="34" spans="1:7" ht="12.75">
      <c r="A34" s="11" t="s">
        <v>116</v>
      </c>
      <c r="B34" s="17">
        <v>370293</v>
      </c>
      <c r="C34" s="17">
        <v>0</v>
      </c>
      <c r="D34" s="17">
        <v>349570</v>
      </c>
      <c r="E34" s="17">
        <v>349570</v>
      </c>
      <c r="F34" s="17">
        <v>357490</v>
      </c>
      <c r="G34" s="18">
        <v>0.9169740518069178</v>
      </c>
    </row>
    <row r="35" spans="1:7" ht="12.75">
      <c r="A35" s="11" t="s">
        <v>117</v>
      </c>
      <c r="B35" s="17">
        <v>162243</v>
      </c>
      <c r="C35" s="17">
        <v>0</v>
      </c>
      <c r="D35" s="17">
        <v>159057</v>
      </c>
      <c r="E35" s="17">
        <v>159057</v>
      </c>
      <c r="F35" s="17">
        <v>162667</v>
      </c>
      <c r="G35" s="18">
        <v>0.4172464071310411</v>
      </c>
    </row>
    <row r="36" spans="1:7" ht="12.75">
      <c r="A36" s="11" t="s">
        <v>118</v>
      </c>
      <c r="B36" s="17">
        <v>838923</v>
      </c>
      <c r="C36" s="17">
        <v>0</v>
      </c>
      <c r="D36" s="17">
        <v>961208</v>
      </c>
      <c r="E36" s="17">
        <v>961208</v>
      </c>
      <c r="F36" s="17">
        <v>982964</v>
      </c>
      <c r="G36" s="18">
        <v>2.5213362104124175</v>
      </c>
    </row>
    <row r="37" spans="1:7" ht="12.75">
      <c r="A37" s="11" t="s">
        <v>119</v>
      </c>
      <c r="B37" s="17">
        <v>361105</v>
      </c>
      <c r="C37" s="17">
        <v>0</v>
      </c>
      <c r="D37" s="17">
        <v>352558</v>
      </c>
      <c r="E37" s="17">
        <v>352558</v>
      </c>
      <c r="F37" s="17">
        <v>361556</v>
      </c>
      <c r="G37" s="18">
        <v>0.9274034805871548</v>
      </c>
    </row>
    <row r="38" spans="1:7" ht="12.75">
      <c r="A38" s="11" t="s">
        <v>120</v>
      </c>
      <c r="B38" s="17">
        <v>1673804</v>
      </c>
      <c r="C38" s="17">
        <v>0</v>
      </c>
      <c r="D38" s="17">
        <v>1615933</v>
      </c>
      <c r="E38" s="17">
        <v>1615933</v>
      </c>
      <c r="F38" s="17">
        <v>1652494</v>
      </c>
      <c r="G38" s="18">
        <v>4.238703512732163</v>
      </c>
    </row>
    <row r="39" spans="1:7" ht="12.75">
      <c r="A39" s="11" t="s">
        <v>121</v>
      </c>
      <c r="B39" s="17">
        <v>964335</v>
      </c>
      <c r="C39" s="17">
        <v>0</v>
      </c>
      <c r="D39" s="17">
        <v>1004019</v>
      </c>
      <c r="E39" s="17">
        <v>1004019</v>
      </c>
      <c r="F39" s="17">
        <v>1026824</v>
      </c>
      <c r="G39" s="18">
        <v>2.6338386074368136</v>
      </c>
    </row>
    <row r="40" spans="1:7" ht="12.75">
      <c r="A40" s="11" t="s">
        <v>122</v>
      </c>
      <c r="B40" s="17">
        <v>232735</v>
      </c>
      <c r="C40" s="17">
        <v>0</v>
      </c>
      <c r="D40" s="17">
        <v>279944</v>
      </c>
      <c r="E40" s="17">
        <v>279944</v>
      </c>
      <c r="F40" s="17">
        <v>244430</v>
      </c>
      <c r="G40" s="18">
        <v>0.6269712928562056</v>
      </c>
    </row>
    <row r="41" spans="1:7" ht="12.75">
      <c r="A41" s="11" t="s">
        <v>123</v>
      </c>
      <c r="B41" s="17">
        <v>1417334</v>
      </c>
      <c r="C41" s="17">
        <v>0</v>
      </c>
      <c r="D41" s="17">
        <v>1311314</v>
      </c>
      <c r="E41" s="17">
        <v>1311314</v>
      </c>
      <c r="F41" s="17">
        <v>1319664</v>
      </c>
      <c r="G41" s="18">
        <v>3.3849832026174838</v>
      </c>
    </row>
    <row r="42" spans="1:7" ht="12.75">
      <c r="A42" s="11" t="s">
        <v>124</v>
      </c>
      <c r="B42" s="17">
        <v>630701</v>
      </c>
      <c r="C42" s="17">
        <v>0</v>
      </c>
      <c r="D42" s="17">
        <v>619906</v>
      </c>
      <c r="E42" s="17">
        <v>619906</v>
      </c>
      <c r="F42" s="17">
        <v>624424</v>
      </c>
      <c r="G42" s="18">
        <v>1.6016688727670223</v>
      </c>
    </row>
    <row r="43" spans="1:7" ht="12.75">
      <c r="A43" s="11" t="s">
        <v>125</v>
      </c>
      <c r="B43" s="17">
        <v>448326</v>
      </c>
      <c r="C43" s="17">
        <v>0</v>
      </c>
      <c r="D43" s="17">
        <v>490924</v>
      </c>
      <c r="E43" s="17">
        <v>490924</v>
      </c>
      <c r="F43" s="17">
        <v>494105</v>
      </c>
      <c r="G43" s="18">
        <v>1.2673961897341384</v>
      </c>
    </row>
    <row r="44" spans="1:7" ht="12.75">
      <c r="A44" s="11" t="s">
        <v>126</v>
      </c>
      <c r="B44" s="17">
        <v>1673861</v>
      </c>
      <c r="C44" s="17">
        <v>0</v>
      </c>
      <c r="D44" s="17">
        <v>1579507</v>
      </c>
      <c r="E44" s="17">
        <v>1579507</v>
      </c>
      <c r="F44" s="17">
        <v>1615348</v>
      </c>
      <c r="G44" s="18">
        <v>4.1434227548692295</v>
      </c>
    </row>
    <row r="45" spans="1:7" ht="12.75">
      <c r="A45" s="11" t="s">
        <v>127</v>
      </c>
      <c r="B45" s="17">
        <v>216613</v>
      </c>
      <c r="C45" s="17">
        <v>0</v>
      </c>
      <c r="D45" s="17">
        <v>209411</v>
      </c>
      <c r="E45" s="17">
        <v>209411</v>
      </c>
      <c r="F45" s="17">
        <v>215316</v>
      </c>
      <c r="G45" s="18">
        <v>0.5522928891405586</v>
      </c>
    </row>
    <row r="46" spans="1:7" ht="12.75">
      <c r="A46" s="11" t="s">
        <v>128</v>
      </c>
      <c r="B46" s="17">
        <v>648096</v>
      </c>
      <c r="C46" s="17">
        <v>0</v>
      </c>
      <c r="D46" s="17">
        <v>692424</v>
      </c>
      <c r="E46" s="17">
        <v>692424</v>
      </c>
      <c r="F46" s="17">
        <v>659288</v>
      </c>
      <c r="G46" s="18">
        <v>1.6910962227409976</v>
      </c>
    </row>
    <row r="47" spans="1:7" ht="12.75">
      <c r="A47" s="11" t="s">
        <v>129</v>
      </c>
      <c r="B47" s="17">
        <v>290112</v>
      </c>
      <c r="C47" s="17">
        <v>0</v>
      </c>
      <c r="D47" s="17">
        <v>270025</v>
      </c>
      <c r="E47" s="17">
        <v>270025</v>
      </c>
      <c r="F47" s="17">
        <v>277652</v>
      </c>
      <c r="G47" s="18">
        <v>0.7121868567856285</v>
      </c>
    </row>
    <row r="48" spans="1:7" ht="12.75">
      <c r="A48" s="11" t="s">
        <v>130</v>
      </c>
      <c r="B48" s="17">
        <v>842125</v>
      </c>
      <c r="C48" s="17">
        <v>0</v>
      </c>
      <c r="D48" s="17">
        <v>802820</v>
      </c>
      <c r="E48" s="17">
        <v>802820</v>
      </c>
      <c r="F48" s="17">
        <v>831970</v>
      </c>
      <c r="G48" s="18">
        <v>2.1340314467028487</v>
      </c>
    </row>
    <row r="49" spans="1:7" ht="12.75">
      <c r="A49" s="11" t="s">
        <v>131</v>
      </c>
      <c r="B49" s="17">
        <v>3638076</v>
      </c>
      <c r="C49" s="17">
        <v>0</v>
      </c>
      <c r="D49" s="17">
        <v>3324078</v>
      </c>
      <c r="E49" s="17">
        <v>3324078</v>
      </c>
      <c r="F49" s="17">
        <v>3398429</v>
      </c>
      <c r="G49" s="18">
        <v>8.717086379781621</v>
      </c>
    </row>
    <row r="50" spans="1:7" ht="12.75">
      <c r="A50" s="11" t="s">
        <v>132</v>
      </c>
      <c r="B50" s="17">
        <v>347445</v>
      </c>
      <c r="C50" s="17">
        <v>0</v>
      </c>
      <c r="D50" s="17">
        <v>336698</v>
      </c>
      <c r="E50" s="17">
        <v>336698</v>
      </c>
      <c r="F50" s="17">
        <v>341874</v>
      </c>
      <c r="G50" s="18">
        <v>0.87691847880343</v>
      </c>
    </row>
    <row r="51" spans="1:7" ht="12.75">
      <c r="A51" s="11" t="s">
        <v>133</v>
      </c>
      <c r="B51" s="17">
        <v>206255</v>
      </c>
      <c r="C51" s="17">
        <v>0</v>
      </c>
      <c r="D51" s="17">
        <v>203613</v>
      </c>
      <c r="E51" s="17">
        <v>203613</v>
      </c>
      <c r="F51" s="17">
        <v>199814</v>
      </c>
      <c r="G51" s="18">
        <v>0.5125297300281056</v>
      </c>
    </row>
    <row r="52" spans="1:7" ht="12.75">
      <c r="A52" s="11" t="s">
        <v>134</v>
      </c>
      <c r="B52" s="17">
        <v>948130</v>
      </c>
      <c r="C52" s="17">
        <v>0</v>
      </c>
      <c r="D52" s="17">
        <v>985318</v>
      </c>
      <c r="E52" s="17">
        <v>985318</v>
      </c>
      <c r="F52" s="17">
        <v>1001877</v>
      </c>
      <c r="G52" s="18">
        <v>2.569848700948724</v>
      </c>
    </row>
    <row r="53" spans="1:7" ht="12.75">
      <c r="A53" s="11" t="s">
        <v>135</v>
      </c>
      <c r="B53" s="17">
        <v>655002</v>
      </c>
      <c r="C53" s="17">
        <v>0</v>
      </c>
      <c r="D53" s="17">
        <v>670311</v>
      </c>
      <c r="E53" s="17">
        <v>670311</v>
      </c>
      <c r="F53" s="17">
        <v>695945</v>
      </c>
      <c r="G53" s="18">
        <v>1.7851226789134391</v>
      </c>
    </row>
    <row r="54" spans="1:7" ht="12.75">
      <c r="A54" s="11" t="s">
        <v>136</v>
      </c>
      <c r="B54" s="17">
        <v>422302</v>
      </c>
      <c r="C54" s="17">
        <v>0</v>
      </c>
      <c r="D54" s="17">
        <v>438416</v>
      </c>
      <c r="E54" s="17">
        <v>438416</v>
      </c>
      <c r="F54" s="17">
        <v>430265</v>
      </c>
      <c r="G54" s="18">
        <v>1.103644410754716</v>
      </c>
    </row>
    <row r="55" spans="1:7" ht="12.75">
      <c r="A55" s="11" t="s">
        <v>137</v>
      </c>
      <c r="B55" s="17">
        <v>768638</v>
      </c>
      <c r="C55" s="17">
        <v>0</v>
      </c>
      <c r="D55" s="17">
        <v>725066</v>
      </c>
      <c r="E55" s="17">
        <v>725066</v>
      </c>
      <c r="F55" s="17">
        <v>740803</v>
      </c>
      <c r="G55" s="18">
        <v>1.900184980001455</v>
      </c>
    </row>
    <row r="56" spans="1:7" ht="12.75">
      <c r="A56" s="11" t="s">
        <v>138</v>
      </c>
      <c r="B56" s="17">
        <v>250688</v>
      </c>
      <c r="C56" s="17">
        <v>0</v>
      </c>
      <c r="D56" s="17">
        <v>251757</v>
      </c>
      <c r="E56" s="17">
        <v>251757</v>
      </c>
      <c r="F56" s="17">
        <v>252224</v>
      </c>
      <c r="G56" s="18">
        <v>0.646963168880103</v>
      </c>
    </row>
    <row r="57" spans="1:7" ht="12.75">
      <c r="A57" s="11" t="s">
        <v>139</v>
      </c>
      <c r="B57" s="17">
        <v>83</v>
      </c>
      <c r="C57" s="17">
        <v>0</v>
      </c>
      <c r="D57" s="17">
        <v>110</v>
      </c>
      <c r="E57" s="17">
        <v>110</v>
      </c>
      <c r="F57" s="17">
        <v>111</v>
      </c>
      <c r="G57" s="18" t="s">
        <v>446</v>
      </c>
    </row>
    <row r="58" spans="1:7" ht="12.75">
      <c r="A58" s="11" t="s">
        <v>140</v>
      </c>
      <c r="B58" s="17">
        <v>13550</v>
      </c>
      <c r="C58" s="17">
        <v>0</v>
      </c>
      <c r="D58" s="17">
        <v>18111</v>
      </c>
      <c r="E58" s="17">
        <v>18111</v>
      </c>
      <c r="F58" s="17">
        <v>18130</v>
      </c>
      <c r="G58" s="18">
        <v>0.04650406881104204</v>
      </c>
    </row>
    <row r="59" spans="1:7" ht="12.75">
      <c r="A59" s="11" t="s">
        <v>141</v>
      </c>
      <c r="B59" s="17">
        <v>5793</v>
      </c>
      <c r="C59" s="17">
        <v>0</v>
      </c>
      <c r="D59" s="17">
        <v>8059</v>
      </c>
      <c r="E59" s="17">
        <v>8059</v>
      </c>
      <c r="F59" s="17">
        <v>7751</v>
      </c>
      <c r="G59" s="18">
        <v>0.019881579556226523</v>
      </c>
    </row>
    <row r="60" spans="1:7" ht="12.75">
      <c r="A60" s="11" t="s">
        <v>142</v>
      </c>
      <c r="B60" s="17">
        <v>140886</v>
      </c>
      <c r="C60" s="17">
        <v>0</v>
      </c>
      <c r="D60" s="17">
        <v>147469</v>
      </c>
      <c r="E60" s="17">
        <v>147469</v>
      </c>
      <c r="F60" s="17">
        <v>150100</v>
      </c>
      <c r="G60" s="18">
        <v>0.38501162319566523</v>
      </c>
    </row>
    <row r="61" spans="1:7" ht="12.75">
      <c r="A61" s="11" t="s">
        <v>143</v>
      </c>
      <c r="B61" s="17">
        <v>0</v>
      </c>
      <c r="C61" s="17">
        <v>0</v>
      </c>
      <c r="D61" s="17">
        <v>0</v>
      </c>
      <c r="E61" s="17">
        <v>0</v>
      </c>
      <c r="F61" s="17">
        <v>0</v>
      </c>
      <c r="G61" s="18">
        <v>0</v>
      </c>
    </row>
    <row r="62" spans="1:7" ht="12.75">
      <c r="A62" s="11" t="s">
        <v>144</v>
      </c>
      <c r="B62" s="17">
        <v>10395</v>
      </c>
      <c r="C62" s="17">
        <v>0</v>
      </c>
      <c r="D62" s="17">
        <v>13894</v>
      </c>
      <c r="E62" s="17">
        <v>13894</v>
      </c>
      <c r="F62" s="17">
        <v>13908</v>
      </c>
      <c r="G62" s="18">
        <v>0.035674494706231255</v>
      </c>
    </row>
    <row r="63" spans="1:7" ht="12.75">
      <c r="A63" s="11" t="s">
        <v>145</v>
      </c>
      <c r="B63" s="17">
        <v>0</v>
      </c>
      <c r="C63" s="17">
        <v>0</v>
      </c>
      <c r="D63" s="17">
        <v>0</v>
      </c>
      <c r="E63" s="17">
        <v>0</v>
      </c>
      <c r="F63" s="17">
        <v>0</v>
      </c>
      <c r="G63" s="18">
        <f>IF(AND(F65&lt;&gt;12659270,0&lt;&gt;0),IF(100*0/(F65-12659270)&lt;0.005,"*",100*0/(F65-12659270)),0)</f>
        <v>0</v>
      </c>
    </row>
    <row r="64" spans="1:7" ht="15">
      <c r="A64" s="11" t="s">
        <v>146</v>
      </c>
      <c r="B64" s="17">
        <v>0</v>
      </c>
      <c r="C64" s="17">
        <v>0</v>
      </c>
      <c r="D64" s="23" t="s">
        <v>370</v>
      </c>
      <c r="E64" s="17">
        <v>5194866</v>
      </c>
      <c r="F64" s="23" t="s">
        <v>371</v>
      </c>
      <c r="G64" s="18">
        <v>0</v>
      </c>
    </row>
    <row r="65" spans="1:7" ht="15" customHeight="1">
      <c r="A65" s="19" t="s">
        <v>87</v>
      </c>
      <c r="B65" s="20">
        <f>755923+500331+823462+526705+3233027+524317+470539+182713+185890+1859727+1161034+103585+285206+1450296+925389+508412+361917+693506+701338+202624+576777+614374+1020379+676889+502692+896827+411036+283014+370293+162243+838923+361105+1673804+964335+232735+1417334+630701+448326+1673861+216613+648096+290112+842125+3638076+347445+206255+948130+655002+422302+768638+250688+83+13550+5793+140886+0+10395+0+0+0</f>
        <v>38615778</v>
      </c>
      <c r="C65" s="20">
        <f>0+0+0+0+0+0+0+0+0+0+0+0+0+0+0+0+0+0+0+0+0+0+0+0+0+0+0+0+0+0+0+0+0+0+0+0+0+0+0+0+0+0+0+0+0+0+0+0+0+0+0+0+0+0+0+0+0+0+0+0</f>
        <v>0</v>
      </c>
      <c r="D65" s="20">
        <f>732590+510960+705760+497876+3657529+512922+478588+162684+153605+1826600+1243008+159403+275638+1368692+917581+477169+364198+653734+676555+177704+578514+584687+1015017+624824+460692+913736+393842+280847+349570+159057+961208+352558+1615933+1004019+279944+1311314+619906+490924+1579507+209411+692424+270025+802820+3324078+336698+203613+985318+670311+438416+725066+251757+110+18111+8059+147469+0+13894+0+5194866+0</f>
        <v>43421341</v>
      </c>
      <c r="E65" s="20" t="s">
        <v>442</v>
      </c>
      <c r="F65" s="20" t="s">
        <v>444</v>
      </c>
      <c r="G65" s="21" t="s">
        <v>343</v>
      </c>
    </row>
    <row r="66" spans="1:7" ht="15" customHeight="1">
      <c r="A66" s="33" t="s">
        <v>148</v>
      </c>
      <c r="B66" s="33"/>
      <c r="C66" s="33"/>
      <c r="D66" s="33"/>
      <c r="E66" s="33"/>
      <c r="F66" s="33"/>
      <c r="G66" s="33"/>
    </row>
    <row r="67" spans="1:7" ht="15" customHeight="1">
      <c r="A67" s="34" t="s">
        <v>441</v>
      </c>
      <c r="B67" s="34"/>
      <c r="C67" s="34"/>
      <c r="D67" s="34"/>
      <c r="E67" s="34"/>
      <c r="F67" s="34"/>
      <c r="G67" s="34"/>
    </row>
    <row r="68" spans="1:7" ht="26.25" customHeight="1">
      <c r="A68" s="26" t="s">
        <v>372</v>
      </c>
      <c r="B68" s="26"/>
      <c r="C68" s="26"/>
      <c r="D68" s="26"/>
      <c r="E68" s="26"/>
      <c r="F68" s="26"/>
      <c r="G68" s="26"/>
    </row>
    <row r="69" spans="1:7" ht="26.25" customHeight="1">
      <c r="A69" s="34" t="s">
        <v>443</v>
      </c>
      <c r="B69" s="34"/>
      <c r="C69" s="34"/>
      <c r="D69" s="34"/>
      <c r="E69" s="34"/>
      <c r="F69" s="34"/>
      <c r="G69" s="34"/>
    </row>
    <row r="70" spans="1:7" ht="26.25" customHeight="1">
      <c r="A70" s="34" t="s">
        <v>445</v>
      </c>
      <c r="B70" s="34"/>
      <c r="C70" s="34"/>
      <c r="D70" s="34"/>
      <c r="E70" s="34"/>
      <c r="F70" s="34"/>
      <c r="G70" s="34"/>
    </row>
    <row r="71" spans="1:7" ht="15" customHeight="1">
      <c r="A71" s="26" t="s">
        <v>347</v>
      </c>
      <c r="B71" s="26"/>
      <c r="C71" s="26"/>
      <c r="D71" s="26"/>
      <c r="E71" s="26"/>
      <c r="F71" s="26"/>
      <c r="G71" s="26"/>
    </row>
  </sheetData>
  <sheetProtection/>
  <mergeCells count="10">
    <mergeCell ref="A69:G69"/>
    <mergeCell ref="A70:G70"/>
    <mergeCell ref="A68:G68"/>
    <mergeCell ref="A71:G71"/>
    <mergeCell ref="A4:A5"/>
    <mergeCell ref="B4:B5"/>
    <mergeCell ref="F4:F5"/>
    <mergeCell ref="G4:G5"/>
    <mergeCell ref="A66:G66"/>
    <mergeCell ref="A67:G67"/>
  </mergeCells>
  <printOptions/>
  <pageMargins left="0.7" right="0.7" top="0.75" bottom="0.75" header="0.3" footer="0.3"/>
  <pageSetup fitToHeight="1" fitToWidth="1" orientation="portrait" paperSize="9"/>
</worksheet>
</file>

<file path=xl/worksheets/sheet35.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373</v>
      </c>
      <c r="B1" s="10"/>
      <c r="C1" s="10"/>
      <c r="D1" s="10"/>
      <c r="E1" s="10"/>
      <c r="F1" s="10"/>
      <c r="G1" s="12" t="s">
        <v>374</v>
      </c>
    </row>
    <row r="2" spans="1:7" ht="12.75">
      <c r="A2" s="13" t="s">
        <v>375</v>
      </c>
      <c r="B2" s="14"/>
      <c r="C2" s="14"/>
      <c r="D2" s="14"/>
      <c r="E2" s="14"/>
      <c r="F2" s="14"/>
      <c r="G2" s="14"/>
    </row>
    <row r="3" spans="1:7" ht="12.75">
      <c r="A3" s="14" t="s">
        <v>79</v>
      </c>
      <c r="B3" s="14"/>
      <c r="C3" s="14"/>
      <c r="D3" s="14"/>
      <c r="E3" s="14"/>
      <c r="F3" s="14"/>
      <c r="G3" s="14"/>
    </row>
    <row r="4" spans="1:7" ht="25.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15755</v>
      </c>
      <c r="C6" s="17">
        <v>457</v>
      </c>
      <c r="D6" s="17">
        <v>14776</v>
      </c>
      <c r="E6" s="17">
        <v>15233</v>
      </c>
      <c r="F6" s="17">
        <v>10589</v>
      </c>
      <c r="G6" s="18">
        <f>IF(AND(F69&lt;&gt;0,10589&lt;&gt;0),IF(100*10589/(F69-0)&lt;0.005,"*",100*10589/(F69-0)),0)</f>
        <v>1.0810617662072486</v>
      </c>
    </row>
    <row r="7" spans="1:7" ht="12.75">
      <c r="A7" s="11" t="s">
        <v>89</v>
      </c>
      <c r="B7" s="17">
        <v>8433</v>
      </c>
      <c r="C7" s="17">
        <v>245</v>
      </c>
      <c r="D7" s="17">
        <v>7908</v>
      </c>
      <c r="E7" s="17">
        <v>8153</v>
      </c>
      <c r="F7" s="17">
        <v>5668</v>
      </c>
      <c r="G7" s="18">
        <f>IF(AND(F69&lt;&gt;0,5668&lt;&gt;0),IF(100*5668/(F69-0)&lt;0.005,"*",100*5668/(F69-0)),0)</f>
        <v>0.5786625829504849</v>
      </c>
    </row>
    <row r="8" spans="1:7" ht="12.75">
      <c r="A8" s="11" t="s">
        <v>90</v>
      </c>
      <c r="B8" s="17">
        <v>16266</v>
      </c>
      <c r="C8" s="17">
        <v>276</v>
      </c>
      <c r="D8" s="17">
        <v>8925</v>
      </c>
      <c r="E8" s="17">
        <v>9201</v>
      </c>
      <c r="F8" s="17">
        <v>6396</v>
      </c>
      <c r="G8" s="18">
        <f>IF(AND(F69&lt;&gt;0,6396&lt;&gt;0),IF(100*6396/(F69-0)&lt;0.005,"*",100*6396/(F69-0)),0)</f>
        <v>0.6529862174578867</v>
      </c>
    </row>
    <row r="9" spans="1:7" ht="12.75">
      <c r="A9" s="11" t="s">
        <v>91</v>
      </c>
      <c r="B9" s="17">
        <v>9217</v>
      </c>
      <c r="C9" s="17">
        <v>267</v>
      </c>
      <c r="D9" s="17">
        <v>8644</v>
      </c>
      <c r="E9" s="17">
        <v>8911</v>
      </c>
      <c r="F9" s="17">
        <v>6195</v>
      </c>
      <c r="G9" s="18">
        <f>IF(AND(F69&lt;&gt;0,6195&lt;&gt;0),IF(100*6195/(F69-0)&lt;0.005,"*",100*6195/(F69-0)),0)</f>
        <v>0.6324655436447167</v>
      </c>
    </row>
    <row r="10" spans="1:7" ht="12.75">
      <c r="A10" s="11" t="s">
        <v>92</v>
      </c>
      <c r="B10" s="17">
        <v>104912</v>
      </c>
      <c r="C10" s="17">
        <v>2923</v>
      </c>
      <c r="D10" s="17">
        <v>94507</v>
      </c>
      <c r="E10" s="17">
        <v>97430</v>
      </c>
      <c r="F10" s="17">
        <v>67731</v>
      </c>
      <c r="G10" s="18">
        <f>IF(AND(F69&lt;&gt;0,67731&lt;&gt;0),IF(100*67731/(F69-0)&lt;0.005,"*",100*67731/(F69-0)),0)</f>
        <v>6.914854517611026</v>
      </c>
    </row>
    <row r="11" spans="1:7" ht="12.75">
      <c r="A11" s="11" t="s">
        <v>93</v>
      </c>
      <c r="B11" s="17">
        <v>11158</v>
      </c>
      <c r="C11" s="17">
        <v>327</v>
      </c>
      <c r="D11" s="17">
        <v>10570</v>
      </c>
      <c r="E11" s="17">
        <v>10897</v>
      </c>
      <c r="F11" s="17">
        <v>7575</v>
      </c>
      <c r="G11" s="18">
        <f>IF(AND(F69&lt;&gt;0,7575&lt;&gt;0),IF(100*7575/(F69-0)&lt;0.005,"*",100*7575/(F69-0)),0)</f>
        <v>0.7733537519142419</v>
      </c>
    </row>
    <row r="12" spans="1:7" ht="12.75">
      <c r="A12" s="11" t="s">
        <v>94</v>
      </c>
      <c r="B12" s="17">
        <v>17261</v>
      </c>
      <c r="C12" s="17">
        <v>501</v>
      </c>
      <c r="D12" s="17">
        <v>16188</v>
      </c>
      <c r="E12" s="17">
        <v>16689</v>
      </c>
      <c r="F12" s="17">
        <v>11602</v>
      </c>
      <c r="G12" s="18">
        <f>IF(AND(F69&lt;&gt;0,11602&lt;&gt;0),IF(100*11602/(F69-0)&lt;0.005,"*",100*11602/(F69-0)),0)</f>
        <v>1.1844818785094435</v>
      </c>
    </row>
    <row r="13" spans="1:7" ht="12.75">
      <c r="A13" s="11" t="s">
        <v>95</v>
      </c>
      <c r="B13" s="17">
        <v>6917</v>
      </c>
      <c r="C13" s="17">
        <v>201</v>
      </c>
      <c r="D13" s="17">
        <v>6487</v>
      </c>
      <c r="E13" s="17">
        <v>6688</v>
      </c>
      <c r="F13" s="17">
        <v>4649</v>
      </c>
      <c r="G13" s="18">
        <f>IF(AND(F69&lt;&gt;0,4649&lt;&gt;0),IF(100*4649/(F69-0)&lt;0.005,"*",100*4649/(F69-0)),0)</f>
        <v>0.47462991322103115</v>
      </c>
    </row>
    <row r="14" spans="1:7" ht="12.75">
      <c r="A14" s="11" t="s">
        <v>96</v>
      </c>
      <c r="B14" s="17">
        <v>7408</v>
      </c>
      <c r="C14" s="17">
        <v>201</v>
      </c>
      <c r="D14" s="17">
        <v>6487</v>
      </c>
      <c r="E14" s="17">
        <v>6688</v>
      </c>
      <c r="F14" s="17">
        <v>4649</v>
      </c>
      <c r="G14" s="18">
        <f>IF(AND(F69&lt;&gt;0,4649&lt;&gt;0),IF(100*4649/(F69-0)&lt;0.005,"*",100*4649/(F69-0)),0)</f>
        <v>0.47462991322103115</v>
      </c>
    </row>
    <row r="15" spans="1:7" ht="12.75">
      <c r="A15" s="11" t="s">
        <v>97</v>
      </c>
      <c r="B15" s="17">
        <v>47206</v>
      </c>
      <c r="C15" s="17">
        <v>1380</v>
      </c>
      <c r="D15" s="17">
        <v>44604</v>
      </c>
      <c r="E15" s="17">
        <v>45984</v>
      </c>
      <c r="F15" s="17">
        <v>31967</v>
      </c>
      <c r="G15" s="18">
        <f>IF(AND(F69&lt;&gt;0,31967&lt;&gt;0),IF(100*31967/(F69-0)&lt;0.005,"*",100*31967/(F69-0)),0)</f>
        <v>3.263603879530373</v>
      </c>
    </row>
    <row r="16" spans="1:7" ht="12.75">
      <c r="A16" s="11" t="s">
        <v>98</v>
      </c>
      <c r="B16" s="17">
        <v>23823</v>
      </c>
      <c r="C16" s="17">
        <v>691</v>
      </c>
      <c r="D16" s="17">
        <v>22342</v>
      </c>
      <c r="E16" s="17">
        <v>23033</v>
      </c>
      <c r="F16" s="17">
        <v>16012</v>
      </c>
      <c r="G16" s="18">
        <f>IF(AND(F69&lt;&gt;0,16012&lt;&gt;0),IF(100*16012/(F69-0)&lt;0.005,"*",100*16012/(F69-0)),0)</f>
        <v>1.6347115875446656</v>
      </c>
    </row>
    <row r="17" spans="1:7" ht="12.75">
      <c r="A17" s="11" t="s">
        <v>99</v>
      </c>
      <c r="B17" s="17">
        <v>10683</v>
      </c>
      <c r="C17" s="17">
        <v>317</v>
      </c>
      <c r="D17" s="17">
        <v>10234</v>
      </c>
      <c r="E17" s="17">
        <v>10551</v>
      </c>
      <c r="F17" s="17">
        <v>7335</v>
      </c>
      <c r="G17" s="18">
        <f>IF(AND(F69&lt;&gt;0,7335&lt;&gt;0),IF(100*7335/(F69-0)&lt;0.005,"*",100*7335/(F69-0)),0)</f>
        <v>0.7488514548238897</v>
      </c>
    </row>
    <row r="18" spans="1:7" ht="12.75">
      <c r="A18" s="11" t="s">
        <v>100</v>
      </c>
      <c r="B18" s="17">
        <v>6917</v>
      </c>
      <c r="C18" s="17">
        <v>201</v>
      </c>
      <c r="D18" s="17">
        <v>6487</v>
      </c>
      <c r="E18" s="17">
        <v>6688</v>
      </c>
      <c r="F18" s="17">
        <v>4649</v>
      </c>
      <c r="G18" s="18">
        <f>IF(AND(F69&lt;&gt;0,4649&lt;&gt;0),IF(100*4649/(F69-0)&lt;0.005,"*",100*4649/(F69-0)),0)</f>
        <v>0.47462991322103115</v>
      </c>
    </row>
    <row r="19" spans="1:7" ht="12.75">
      <c r="A19" s="11" t="s">
        <v>101</v>
      </c>
      <c r="B19" s="17">
        <v>63724</v>
      </c>
      <c r="C19" s="17">
        <v>1848</v>
      </c>
      <c r="D19" s="17">
        <v>59763</v>
      </c>
      <c r="E19" s="17">
        <v>61611</v>
      </c>
      <c r="F19" s="17">
        <v>42831</v>
      </c>
      <c r="G19" s="18">
        <f>IF(AND(F69&lt;&gt;0,42831&lt;&gt;0),IF(100*42831/(F69-0)&lt;0.005,"*",100*42831/(F69-0)),0)</f>
        <v>4.372741194486983</v>
      </c>
    </row>
    <row r="20" spans="1:7" ht="12.75">
      <c r="A20" s="11" t="s">
        <v>102</v>
      </c>
      <c r="B20" s="17">
        <v>33957</v>
      </c>
      <c r="C20" s="17">
        <v>985</v>
      </c>
      <c r="D20" s="17">
        <v>31846</v>
      </c>
      <c r="E20" s="17">
        <v>32831</v>
      </c>
      <c r="F20" s="17">
        <v>22823</v>
      </c>
      <c r="G20" s="18">
        <f>IF(AND(F69&lt;&gt;0,22823&lt;&gt;0),IF(100*22823/(F69-0)&lt;0.005,"*",100*22823/(F69-0)),0)</f>
        <v>2.3300663603879532</v>
      </c>
    </row>
    <row r="21" spans="1:7" ht="12.75">
      <c r="A21" s="11" t="s">
        <v>103</v>
      </c>
      <c r="B21" s="17">
        <v>19070</v>
      </c>
      <c r="C21" s="17">
        <v>553</v>
      </c>
      <c r="D21" s="17">
        <v>17884</v>
      </c>
      <c r="E21" s="17">
        <v>18437</v>
      </c>
      <c r="F21" s="17">
        <v>12817</v>
      </c>
      <c r="G21" s="18">
        <f>IF(AND(F69&lt;&gt;0,12817&lt;&gt;0),IF(100*12817/(F69-0)&lt;0.005,"*",100*12817/(F69-0)),0)</f>
        <v>1.3085247575293517</v>
      </c>
    </row>
    <row r="22" spans="1:7" ht="12.75">
      <c r="A22" s="11" t="s">
        <v>104</v>
      </c>
      <c r="B22" s="17">
        <v>12718</v>
      </c>
      <c r="C22" s="17">
        <v>369</v>
      </c>
      <c r="D22" s="17">
        <v>11927</v>
      </c>
      <c r="E22" s="17">
        <v>12296</v>
      </c>
      <c r="F22" s="17">
        <v>8548</v>
      </c>
      <c r="G22" s="18">
        <f>IF(AND(F69&lt;&gt;0,8548&lt;&gt;0),IF(100*8548/(F69-0)&lt;0.005,"*",100*8548/(F69-0)),0)</f>
        <v>0.8726901480347116</v>
      </c>
    </row>
    <row r="23" spans="1:7" ht="12.75">
      <c r="A23" s="11" t="s">
        <v>105</v>
      </c>
      <c r="B23" s="17">
        <v>17933</v>
      </c>
      <c r="C23" s="17">
        <v>520</v>
      </c>
      <c r="D23" s="17">
        <v>16818</v>
      </c>
      <c r="E23" s="17">
        <v>17338</v>
      </c>
      <c r="F23" s="17">
        <v>12053</v>
      </c>
      <c r="G23" s="18">
        <f>IF(AND(F69&lt;&gt;0,12053&lt;&gt;0),IF(100*12053/(F69-0)&lt;0.005,"*",100*12053/(F69-0)),0)</f>
        <v>1.2305257784583972</v>
      </c>
    </row>
    <row r="24" spans="1:7" ht="12.75">
      <c r="A24" s="11" t="s">
        <v>106</v>
      </c>
      <c r="B24" s="17">
        <v>22306</v>
      </c>
      <c r="C24" s="17">
        <v>449</v>
      </c>
      <c r="D24" s="17">
        <v>14526</v>
      </c>
      <c r="E24" s="17">
        <v>14975</v>
      </c>
      <c r="F24" s="17">
        <v>10411</v>
      </c>
      <c r="G24" s="18">
        <f>IF(AND(F69&lt;&gt;0,10411&lt;&gt;0),IF(100*10411/(F69-0)&lt;0.005,"*",100*10411/(F69-0)),0)</f>
        <v>1.0628892291985708</v>
      </c>
    </row>
    <row r="25" spans="1:7" ht="12.75">
      <c r="A25" s="11" t="s">
        <v>107</v>
      </c>
      <c r="B25" s="17">
        <v>10907</v>
      </c>
      <c r="C25" s="17">
        <v>316</v>
      </c>
      <c r="D25" s="17">
        <v>10229</v>
      </c>
      <c r="E25" s="17">
        <v>10545</v>
      </c>
      <c r="F25" s="17">
        <v>7331</v>
      </c>
      <c r="G25" s="18">
        <f>IF(AND(F69&lt;&gt;0,7331&lt;&gt;0),IF(100*7331/(F69-0)&lt;0.005,"*",100*7331/(F69-0)),0)</f>
        <v>0.7484430832057172</v>
      </c>
    </row>
    <row r="26" spans="1:7" ht="12.75">
      <c r="A26" s="11" t="s">
        <v>108</v>
      </c>
      <c r="B26" s="17">
        <v>34078</v>
      </c>
      <c r="C26" s="17">
        <v>988</v>
      </c>
      <c r="D26" s="17">
        <v>31960</v>
      </c>
      <c r="E26" s="17">
        <v>32948</v>
      </c>
      <c r="F26" s="17">
        <v>22905</v>
      </c>
      <c r="G26" s="18">
        <f>IF(AND(F69&lt;&gt;0,22905&lt;&gt;0),IF(100*22905/(F69-0)&lt;0.005,"*",100*22905/(F69-0)),0)</f>
        <v>2.33843797856049</v>
      </c>
    </row>
    <row r="27" spans="1:7" ht="12.75">
      <c r="A27" s="11" t="s">
        <v>109</v>
      </c>
      <c r="B27" s="17">
        <v>47838</v>
      </c>
      <c r="C27" s="17">
        <v>1388</v>
      </c>
      <c r="D27" s="17">
        <v>44864</v>
      </c>
      <c r="E27" s="17">
        <v>46252</v>
      </c>
      <c r="F27" s="17">
        <v>32153</v>
      </c>
      <c r="G27" s="18">
        <f>IF(AND(F69&lt;&gt;0,32153&lt;&gt;0),IF(100*32153/(F69-0)&lt;0.005,"*",100*32153/(F69-0)),0)</f>
        <v>3.2825931597753955</v>
      </c>
    </row>
    <row r="28" spans="1:7" ht="12.75">
      <c r="A28" s="11" t="s">
        <v>110</v>
      </c>
      <c r="B28" s="17">
        <v>60584</v>
      </c>
      <c r="C28" s="17">
        <v>1757</v>
      </c>
      <c r="D28" s="17">
        <v>56818</v>
      </c>
      <c r="E28" s="17">
        <v>58575</v>
      </c>
      <c r="F28" s="17">
        <v>40720</v>
      </c>
      <c r="G28" s="18">
        <f>IF(AND(F69&lt;&gt;0,40720&lt;&gt;0),IF(100*40720/(F69-0)&lt;0.005,"*",100*40720/(F69-0)),0)</f>
        <v>4.157223072996427</v>
      </c>
    </row>
    <row r="29" spans="1:7" ht="12.75">
      <c r="A29" s="11" t="s">
        <v>111</v>
      </c>
      <c r="B29" s="17">
        <v>25897</v>
      </c>
      <c r="C29" s="17">
        <v>751</v>
      </c>
      <c r="D29" s="17">
        <v>24288</v>
      </c>
      <c r="E29" s="17">
        <v>25039</v>
      </c>
      <c r="F29" s="17">
        <v>17406</v>
      </c>
      <c r="G29" s="18">
        <f>IF(AND(F69&lt;&gt;0,17406&lt;&gt;0),IF(100*17406/(F69-0)&lt;0.005,"*",100*17406/(F69-0)),0)</f>
        <v>1.7770290964777948</v>
      </c>
    </row>
    <row r="30" spans="1:7" ht="12.75">
      <c r="A30" s="11" t="s">
        <v>112</v>
      </c>
      <c r="B30" s="17">
        <v>12694</v>
      </c>
      <c r="C30" s="17">
        <v>368</v>
      </c>
      <c r="D30" s="17">
        <v>11905</v>
      </c>
      <c r="E30" s="17">
        <v>12273</v>
      </c>
      <c r="F30" s="17">
        <v>8532</v>
      </c>
      <c r="G30" s="18">
        <f>IF(AND(F69&lt;&gt;0,8532&lt;&gt;0),IF(100*8532/(F69-0)&lt;0.005,"*",100*8532/(F69-0)),0)</f>
        <v>0.8710566615620214</v>
      </c>
    </row>
    <row r="31" spans="1:7" ht="12.75">
      <c r="A31" s="11" t="s">
        <v>113</v>
      </c>
      <c r="B31" s="17">
        <v>39018</v>
      </c>
      <c r="C31" s="17">
        <v>1133</v>
      </c>
      <c r="D31" s="17">
        <v>36632</v>
      </c>
      <c r="E31" s="17">
        <v>37765</v>
      </c>
      <c r="F31" s="17">
        <v>26253</v>
      </c>
      <c r="G31" s="18">
        <f>IF(AND(F69&lt;&gt;0,26253&lt;&gt;0),IF(100*26253/(F69-0)&lt;0.005,"*",100*26253/(F69-0)),0)</f>
        <v>2.6802450229709036</v>
      </c>
    </row>
    <row r="32" spans="1:7" ht="12.75">
      <c r="A32" s="11" t="s">
        <v>114</v>
      </c>
      <c r="B32" s="17">
        <v>7030</v>
      </c>
      <c r="C32" s="17">
        <v>201</v>
      </c>
      <c r="D32" s="17">
        <v>6487</v>
      </c>
      <c r="E32" s="17">
        <v>6688</v>
      </c>
      <c r="F32" s="17">
        <v>4649</v>
      </c>
      <c r="G32" s="18">
        <f>IF(AND(F69&lt;&gt;0,4649&lt;&gt;0),IF(100*4649/(F69-0)&lt;0.005,"*",100*4649/(F69-0)),0)</f>
        <v>0.47462991322103115</v>
      </c>
    </row>
    <row r="33" spans="1:7" ht="12.75">
      <c r="A33" s="11" t="s">
        <v>115</v>
      </c>
      <c r="B33" s="17">
        <v>7207</v>
      </c>
      <c r="C33" s="17">
        <v>209</v>
      </c>
      <c r="D33" s="17">
        <v>6759</v>
      </c>
      <c r="E33" s="17">
        <v>6968</v>
      </c>
      <c r="F33" s="17">
        <v>4844</v>
      </c>
      <c r="G33" s="18">
        <f>IF(AND(F69&lt;&gt;0,4844&lt;&gt;0),IF(100*4844/(F69-0)&lt;0.005,"*",100*4844/(F69-0)),0)</f>
        <v>0.4945380296069423</v>
      </c>
    </row>
    <row r="34" spans="1:7" ht="12.75">
      <c r="A34" s="11" t="s">
        <v>116</v>
      </c>
      <c r="B34" s="17">
        <v>6917</v>
      </c>
      <c r="C34" s="17">
        <v>201</v>
      </c>
      <c r="D34" s="17">
        <v>6487</v>
      </c>
      <c r="E34" s="17">
        <v>6688</v>
      </c>
      <c r="F34" s="17">
        <v>4649</v>
      </c>
      <c r="G34" s="18">
        <f>IF(AND(F69&lt;&gt;0,4649&lt;&gt;0),IF(100*4649/(F69-0)&lt;0.005,"*",100*4649/(F69-0)),0)</f>
        <v>0.47462991322103115</v>
      </c>
    </row>
    <row r="35" spans="1:7" ht="12.75">
      <c r="A35" s="11" t="s">
        <v>117</v>
      </c>
      <c r="B35" s="17">
        <v>14081</v>
      </c>
      <c r="C35" s="17">
        <v>408</v>
      </c>
      <c r="D35" s="17">
        <v>13206</v>
      </c>
      <c r="E35" s="17">
        <v>13614</v>
      </c>
      <c r="F35" s="17">
        <v>9464</v>
      </c>
      <c r="G35" s="18">
        <f>IF(AND(F69&lt;&gt;0,9464&lt;&gt;0),IF(100*9464/(F69-0)&lt;0.005,"*",100*9464/(F69-0)),0)</f>
        <v>0.9662072485962225</v>
      </c>
    </row>
    <row r="36" spans="1:7" ht="12.75">
      <c r="A36" s="11" t="s">
        <v>118</v>
      </c>
      <c r="B36" s="17">
        <v>57578</v>
      </c>
      <c r="C36" s="17">
        <v>1670</v>
      </c>
      <c r="D36" s="17">
        <v>53998</v>
      </c>
      <c r="E36" s="17">
        <v>55668</v>
      </c>
      <c r="F36" s="17">
        <v>38699</v>
      </c>
      <c r="G36" s="18">
        <f>IF(AND(F69&lt;&gt;0,38699&lt;&gt;0),IF(100*38699/(F69-0)&lt;0.005,"*",100*38699/(F69-0)),0)</f>
        <v>3.9508933129147525</v>
      </c>
    </row>
    <row r="37" spans="1:7" ht="12.75">
      <c r="A37" s="11" t="s">
        <v>119</v>
      </c>
      <c r="B37" s="17">
        <v>1514</v>
      </c>
      <c r="C37" s="17">
        <v>201</v>
      </c>
      <c r="D37" s="17">
        <v>6487</v>
      </c>
      <c r="E37" s="17">
        <v>6688</v>
      </c>
      <c r="F37" s="17">
        <v>4649</v>
      </c>
      <c r="G37" s="18">
        <f>IF(AND(F69&lt;&gt;0,4649&lt;&gt;0),IF(100*4649/(F69-0)&lt;0.005,"*",100*4649/(F69-0)),0)</f>
        <v>0.47462991322103115</v>
      </c>
    </row>
    <row r="38" spans="1:7" ht="12.75">
      <c r="A38" s="11" t="s">
        <v>120</v>
      </c>
      <c r="B38" s="17">
        <v>155520</v>
      </c>
      <c r="C38" s="17">
        <v>4511</v>
      </c>
      <c r="D38" s="17">
        <v>145849</v>
      </c>
      <c r="E38" s="17">
        <v>150360</v>
      </c>
      <c r="F38" s="17">
        <v>104531</v>
      </c>
      <c r="G38" s="18">
        <f>IF(AND(F69&lt;&gt;0,104531&lt;&gt;0),IF(100*104531/(F69-0)&lt;0.005,"*",100*104531/(F69-0)),0)</f>
        <v>10.671873404798367</v>
      </c>
    </row>
    <row r="39" spans="1:7" ht="12.75">
      <c r="A39" s="11" t="s">
        <v>121</v>
      </c>
      <c r="B39" s="17">
        <v>25329</v>
      </c>
      <c r="C39" s="17">
        <v>738</v>
      </c>
      <c r="D39" s="17">
        <v>23848</v>
      </c>
      <c r="E39" s="17">
        <v>24586</v>
      </c>
      <c r="F39" s="17">
        <v>17092</v>
      </c>
      <c r="G39" s="18">
        <f>IF(AND(F69&lt;&gt;0,17092&lt;&gt;0),IF(100*17092/(F69-0)&lt;0.005,"*",100*17092/(F69-0)),0)</f>
        <v>1.7449719244512507</v>
      </c>
    </row>
    <row r="40" spans="1:7" ht="12.75">
      <c r="A40" s="11" t="s">
        <v>122</v>
      </c>
      <c r="B40" s="17">
        <v>6917</v>
      </c>
      <c r="C40" s="17">
        <v>201</v>
      </c>
      <c r="D40" s="17">
        <v>6487</v>
      </c>
      <c r="E40" s="17">
        <v>6688</v>
      </c>
      <c r="F40" s="17">
        <v>4649</v>
      </c>
      <c r="G40" s="18">
        <f>IF(AND(F69&lt;&gt;0,4649&lt;&gt;0),IF(100*4649/(F69-0)&lt;0.005,"*",100*4649/(F69-0)),0)</f>
        <v>0.47462991322103115</v>
      </c>
    </row>
    <row r="41" spans="1:7" ht="12.75">
      <c r="A41" s="11" t="s">
        <v>123</v>
      </c>
      <c r="B41" s="17">
        <v>79321</v>
      </c>
      <c r="C41" s="17">
        <v>2301</v>
      </c>
      <c r="D41" s="17">
        <v>74389</v>
      </c>
      <c r="E41" s="17">
        <v>76690</v>
      </c>
      <c r="F41" s="17">
        <v>53313</v>
      </c>
      <c r="G41" s="18">
        <f>IF(AND(F69&lt;&gt;0,53313&lt;&gt;0),IF(100*53313/(F69-0)&lt;0.005,"*",100*53313/(F69-0)),0)</f>
        <v>5.4428790199081165</v>
      </c>
    </row>
    <row r="42" spans="1:7" ht="12.75">
      <c r="A42" s="11" t="s">
        <v>124</v>
      </c>
      <c r="B42" s="17">
        <v>12524</v>
      </c>
      <c r="C42" s="17">
        <v>330</v>
      </c>
      <c r="D42" s="17">
        <v>10676</v>
      </c>
      <c r="E42" s="17">
        <v>11006</v>
      </c>
      <c r="F42" s="17">
        <v>7651</v>
      </c>
      <c r="G42" s="18">
        <f>IF(AND(F69&lt;&gt;0,7651&lt;&gt;0),IF(100*7651/(F69-0)&lt;0.005,"*",100*7651/(F69-0)),0)</f>
        <v>0.7811128126595202</v>
      </c>
    </row>
    <row r="43" spans="1:7" ht="12.75">
      <c r="A43" s="11" t="s">
        <v>125</v>
      </c>
      <c r="B43" s="17">
        <v>15917</v>
      </c>
      <c r="C43" s="17">
        <v>462</v>
      </c>
      <c r="D43" s="17">
        <v>14927</v>
      </c>
      <c r="E43" s="17">
        <v>15389</v>
      </c>
      <c r="F43" s="17">
        <v>10698</v>
      </c>
      <c r="G43" s="18">
        <f>IF(AND(F69&lt;&gt;0,10698&lt;&gt;0),IF(100*10698/(F69-0)&lt;0.005,"*",100*10698/(F69-0)),0)</f>
        <v>1.0921898928024503</v>
      </c>
    </row>
    <row r="44" spans="1:7" ht="12.75">
      <c r="A44" s="11" t="s">
        <v>126</v>
      </c>
      <c r="B44" s="17">
        <v>55813</v>
      </c>
      <c r="C44" s="17">
        <v>1619</v>
      </c>
      <c r="D44" s="17">
        <v>52343</v>
      </c>
      <c r="E44" s="17">
        <v>53962</v>
      </c>
      <c r="F44" s="17">
        <v>37513</v>
      </c>
      <c r="G44" s="18">
        <f>IF(AND(F69&lt;&gt;0,37513&lt;&gt;0),IF(100*37513/(F69-0)&lt;0.005,"*",100*37513/(F69-0)),0)</f>
        <v>3.8298111281265954</v>
      </c>
    </row>
    <row r="45" spans="1:7" ht="12.75">
      <c r="A45" s="11" t="s">
        <v>127</v>
      </c>
      <c r="B45" s="17">
        <v>9461</v>
      </c>
      <c r="C45" s="17">
        <v>274</v>
      </c>
      <c r="D45" s="17">
        <v>8873</v>
      </c>
      <c r="E45" s="17">
        <v>9147</v>
      </c>
      <c r="F45" s="17">
        <v>6359</v>
      </c>
      <c r="G45" s="18">
        <f>IF(AND(F69&lt;&gt;0,6359&lt;&gt;0),IF(100*6359/(F69-0)&lt;0.005,"*",100*6359/(F69-0)),0)</f>
        <v>0.6492087799897908</v>
      </c>
    </row>
    <row r="46" spans="1:7" ht="12.75">
      <c r="A46" s="11" t="s">
        <v>128</v>
      </c>
      <c r="B46" s="17">
        <v>14534</v>
      </c>
      <c r="C46" s="17">
        <v>419</v>
      </c>
      <c r="D46" s="17">
        <v>13537</v>
      </c>
      <c r="E46" s="17">
        <v>13956</v>
      </c>
      <c r="F46" s="17">
        <v>9702</v>
      </c>
      <c r="G46" s="18">
        <f>IF(AND(F69&lt;&gt;0,9702&lt;&gt;0),IF(100*9702/(F69-0)&lt;0.005,"*",100*9702/(F69-0)),0)</f>
        <v>0.9905053598774886</v>
      </c>
    </row>
    <row r="47" spans="1:7" ht="12.75">
      <c r="A47" s="11" t="s">
        <v>129</v>
      </c>
      <c r="B47" s="17">
        <v>6917</v>
      </c>
      <c r="C47" s="17">
        <v>201</v>
      </c>
      <c r="D47" s="17">
        <v>6487</v>
      </c>
      <c r="E47" s="17">
        <v>6688</v>
      </c>
      <c r="F47" s="17">
        <v>4649</v>
      </c>
      <c r="G47" s="18">
        <f>IF(AND(F69&lt;&gt;0,4649&lt;&gt;0),IF(100*4649/(F69-0)&lt;0.005,"*",100*4649/(F69-0)),0)</f>
        <v>0.47462991322103115</v>
      </c>
    </row>
    <row r="48" spans="1:7" ht="12.75">
      <c r="A48" s="11" t="s">
        <v>130</v>
      </c>
      <c r="B48" s="17">
        <v>20468</v>
      </c>
      <c r="C48" s="17">
        <v>594</v>
      </c>
      <c r="D48" s="17">
        <v>19196</v>
      </c>
      <c r="E48" s="17">
        <v>19790</v>
      </c>
      <c r="F48" s="17">
        <v>13757</v>
      </c>
      <c r="G48" s="18">
        <f>IF(AND(F69&lt;&gt;0,13757&lt;&gt;0),IF(100*13757/(F69-0)&lt;0.005,"*",100*13757/(F69-0)),0)</f>
        <v>1.4044920877998979</v>
      </c>
    </row>
    <row r="49" spans="1:7" ht="12.75">
      <c r="A49" s="11" t="s">
        <v>131</v>
      </c>
      <c r="B49" s="17">
        <v>64400</v>
      </c>
      <c r="C49" s="17">
        <v>1868</v>
      </c>
      <c r="D49" s="17">
        <v>60397</v>
      </c>
      <c r="E49" s="17">
        <v>62265</v>
      </c>
      <c r="F49" s="17">
        <v>43285</v>
      </c>
      <c r="G49" s="18">
        <f>IF(AND(F69&lt;&gt;0,43285&lt;&gt;0),IF(100*43285/(F69-0)&lt;0.005,"*",100*43285/(F69-0)),0)</f>
        <v>4.419091373149566</v>
      </c>
    </row>
    <row r="50" spans="1:7" ht="12.75">
      <c r="A50" s="11" t="s">
        <v>132</v>
      </c>
      <c r="B50" s="17">
        <v>7424</v>
      </c>
      <c r="C50" s="17">
        <v>215</v>
      </c>
      <c r="D50" s="17">
        <v>6963</v>
      </c>
      <c r="E50" s="17">
        <v>7178</v>
      </c>
      <c r="F50" s="17">
        <v>4990</v>
      </c>
      <c r="G50" s="18">
        <f>IF(AND(F69&lt;&gt;0,4990&lt;&gt;0),IF(100*4990/(F69-0)&lt;0.005,"*",100*4990/(F69-0)),0)</f>
        <v>0.50944359367024</v>
      </c>
    </row>
    <row r="51" spans="1:7" ht="12.75">
      <c r="A51" s="11" t="s">
        <v>133</v>
      </c>
      <c r="B51" s="17">
        <v>6917</v>
      </c>
      <c r="C51" s="17">
        <v>201</v>
      </c>
      <c r="D51" s="17">
        <v>6487</v>
      </c>
      <c r="E51" s="17">
        <v>6688</v>
      </c>
      <c r="F51" s="17">
        <v>4649</v>
      </c>
      <c r="G51" s="18">
        <f>IF(AND(F69&lt;&gt;0,4649&lt;&gt;0),IF(100*4649/(F69-0)&lt;0.005,"*",100*4649/(F69-0)),0)</f>
        <v>0.47462991322103115</v>
      </c>
    </row>
    <row r="52" spans="1:7" ht="12.75">
      <c r="A52" s="11" t="s">
        <v>134</v>
      </c>
      <c r="B52" s="17">
        <v>28836</v>
      </c>
      <c r="C52" s="17">
        <v>836</v>
      </c>
      <c r="D52" s="17">
        <v>27043</v>
      </c>
      <c r="E52" s="17">
        <v>27879</v>
      </c>
      <c r="F52" s="17">
        <v>19381</v>
      </c>
      <c r="G52" s="18">
        <f>IF(AND(F69&lt;&gt;0,19381&lt;&gt;0),IF(100*19381/(F69-0)&lt;0.005,"*",100*19381/(F69-0)),0)</f>
        <v>1.978662582950485</v>
      </c>
    </row>
    <row r="53" spans="1:7" ht="12.75">
      <c r="A53" s="11" t="s">
        <v>135</v>
      </c>
      <c r="B53" s="17">
        <v>24503</v>
      </c>
      <c r="C53" s="17">
        <v>711</v>
      </c>
      <c r="D53" s="17">
        <v>22979</v>
      </c>
      <c r="E53" s="17">
        <v>23690</v>
      </c>
      <c r="F53" s="17">
        <v>16469</v>
      </c>
      <c r="G53" s="18">
        <f>IF(AND(F69&lt;&gt;0,16469&lt;&gt;0),IF(100*16469/(F69-0)&lt;0.005,"*",100*16469/(F69-0)),0)</f>
        <v>1.681368044920878</v>
      </c>
    </row>
    <row r="54" spans="1:7" ht="12.75">
      <c r="A54" s="11" t="s">
        <v>136</v>
      </c>
      <c r="B54" s="17">
        <v>21965</v>
      </c>
      <c r="C54" s="17">
        <v>637</v>
      </c>
      <c r="D54" s="17">
        <v>20599</v>
      </c>
      <c r="E54" s="17">
        <v>21236</v>
      </c>
      <c r="F54" s="17">
        <v>14763</v>
      </c>
      <c r="G54" s="18">
        <f>IF(AND(F69&lt;&gt;0,14763&lt;&gt;0),IF(100*14763/(F69-0)&lt;0.005,"*",100*14763/(F69-0)),0)</f>
        <v>1.507197549770291</v>
      </c>
    </row>
    <row r="55" spans="1:7" ht="12.75">
      <c r="A55" s="11" t="s">
        <v>137</v>
      </c>
      <c r="B55" s="17">
        <v>38092</v>
      </c>
      <c r="C55" s="17">
        <v>1105</v>
      </c>
      <c r="D55" s="17">
        <v>35724</v>
      </c>
      <c r="E55" s="17">
        <v>36829</v>
      </c>
      <c r="F55" s="17">
        <v>25602</v>
      </c>
      <c r="G55" s="18">
        <f>IF(AND(F69&lt;&gt;0,25602&lt;&gt;0),IF(100*25602/(F69-0)&lt;0.005,"*",100*25602/(F69-0)),0)</f>
        <v>2.613782542113323</v>
      </c>
    </row>
    <row r="56" spans="1:7" ht="12.75">
      <c r="A56" s="11" t="s">
        <v>138</v>
      </c>
      <c r="B56" s="17">
        <v>6917</v>
      </c>
      <c r="C56" s="17">
        <v>201</v>
      </c>
      <c r="D56" s="17">
        <v>6487</v>
      </c>
      <c r="E56" s="17">
        <v>6688</v>
      </c>
      <c r="F56" s="17">
        <v>4649</v>
      </c>
      <c r="G56" s="18">
        <f>IF(AND(F69&lt;&gt;0,4649&lt;&gt;0),IF(100*4649/(F69-0)&lt;0.005,"*",100*4649/(F69-0)),0)</f>
        <v>0.47462991322103115</v>
      </c>
    </row>
    <row r="57" spans="1:7" ht="12.75">
      <c r="A57" s="11" t="s">
        <v>139</v>
      </c>
      <c r="B57" s="17">
        <v>7642</v>
      </c>
      <c r="C57" s="17">
        <v>222</v>
      </c>
      <c r="D57" s="17">
        <v>7167</v>
      </c>
      <c r="E57" s="17">
        <v>7389</v>
      </c>
      <c r="F57" s="17">
        <v>5144</v>
      </c>
      <c r="G57" s="18">
        <f>IF(AND(F69&lt;&gt;0,5144&lt;&gt;0),IF(100*5144/(F69-0)&lt;0.005,"*",100*5144/(F69-0)),0)</f>
        <v>0.5251659009698826</v>
      </c>
    </row>
    <row r="58" spans="1:7" ht="12.75">
      <c r="A58" s="11" t="s">
        <v>140</v>
      </c>
      <c r="B58" s="17">
        <v>5530</v>
      </c>
      <c r="C58" s="17">
        <v>160</v>
      </c>
      <c r="D58" s="17">
        <v>5187</v>
      </c>
      <c r="E58" s="17">
        <v>5347</v>
      </c>
      <c r="F58" s="17">
        <v>3722</v>
      </c>
      <c r="G58" s="18">
        <f>IF(AND(F69&lt;&gt;0,3722&lt;&gt;0),IF(100*3722/(F69-0)&lt;0.005,"*",100*3722/(F69-0)),0)</f>
        <v>0.3799897907095457</v>
      </c>
    </row>
    <row r="59" spans="1:7" ht="12.75">
      <c r="A59" s="11" t="s">
        <v>141</v>
      </c>
      <c r="B59" s="17">
        <v>3552</v>
      </c>
      <c r="C59" s="17">
        <v>103</v>
      </c>
      <c r="D59" s="17">
        <v>3331</v>
      </c>
      <c r="E59" s="17">
        <v>3434</v>
      </c>
      <c r="F59" s="17">
        <v>2391</v>
      </c>
      <c r="G59" s="18">
        <f>IF(AND(F69&lt;&gt;0,2391&lt;&gt;0),IF(100*2391/(F69-0)&lt;0.005,"*",100*2391/(F69-0)),0)</f>
        <v>0.24410413476263398</v>
      </c>
    </row>
    <row r="60" spans="1:7" ht="12.75">
      <c r="A60" s="11" t="s">
        <v>142</v>
      </c>
      <c r="B60" s="17">
        <v>18377</v>
      </c>
      <c r="C60" s="17">
        <v>533</v>
      </c>
      <c r="D60" s="17">
        <v>17235</v>
      </c>
      <c r="E60" s="17">
        <v>17768</v>
      </c>
      <c r="F60" s="17">
        <v>12352</v>
      </c>
      <c r="G60" s="18">
        <f>IF(AND(F69&lt;&gt;0,12352&lt;&gt;0),IF(100*12352/(F69-0)&lt;0.005,"*",100*12352/(F69-0)),0)</f>
        <v>1.2610515569167944</v>
      </c>
    </row>
    <row r="61" spans="1:7" ht="12.75">
      <c r="A61" s="11" t="s">
        <v>143</v>
      </c>
      <c r="B61" s="17">
        <v>0</v>
      </c>
      <c r="C61" s="17">
        <v>0</v>
      </c>
      <c r="D61" s="17">
        <v>0</v>
      </c>
      <c r="E61" s="17">
        <v>0</v>
      </c>
      <c r="F61" s="17">
        <v>0</v>
      </c>
      <c r="G61" s="18">
        <f>IF(AND(F69&lt;&gt;0,0&lt;&gt;0),IF(100*0/(F69-0)&lt;0.005,"*",100*0/(F69-0)),0)</f>
        <v>0</v>
      </c>
    </row>
    <row r="62" spans="1:7" ht="12.75">
      <c r="A62" s="11" t="s">
        <v>144</v>
      </c>
      <c r="B62" s="17">
        <v>4436</v>
      </c>
      <c r="C62" s="17">
        <v>129</v>
      </c>
      <c r="D62" s="17">
        <v>4160</v>
      </c>
      <c r="E62" s="17">
        <v>4289</v>
      </c>
      <c r="F62" s="17">
        <v>2986</v>
      </c>
      <c r="G62" s="18">
        <f>IF(AND(F69&lt;&gt;0,2986&lt;&gt;0),IF(100*2986/(F69-0)&lt;0.005,"*",100*2986/(F69-0)),0)</f>
        <v>0.30484941296579887</v>
      </c>
    </row>
    <row r="63" spans="1:7" ht="12.75">
      <c r="A63" s="11" t="s">
        <v>145</v>
      </c>
      <c r="B63" s="17">
        <v>11663</v>
      </c>
      <c r="C63" s="17">
        <v>900</v>
      </c>
      <c r="D63" s="17">
        <v>29100</v>
      </c>
      <c r="E63" s="17">
        <v>30000</v>
      </c>
      <c r="F63" s="17">
        <v>30000</v>
      </c>
      <c r="G63" s="18">
        <f>IF(AND(F69&lt;&gt;0,30000&lt;&gt;0),IF(100*30000/(F69-0)&lt;0.005,"*",100*30000/(F69-0)),0)</f>
        <v>3.0627871362940278</v>
      </c>
    </row>
    <row r="64" spans="1:7" ht="12.75">
      <c r="A64" s="11" t="s">
        <v>146</v>
      </c>
      <c r="B64" s="17">
        <v>0</v>
      </c>
      <c r="C64" s="17">
        <v>0</v>
      </c>
      <c r="D64" s="17">
        <v>0</v>
      </c>
      <c r="E64" s="17">
        <v>0</v>
      </c>
      <c r="F64" s="17">
        <v>0</v>
      </c>
      <c r="G64" s="18">
        <v>0</v>
      </c>
    </row>
    <row r="65" spans="1:7" ht="27.75">
      <c r="A65" s="11" t="s">
        <v>449</v>
      </c>
      <c r="B65" s="17">
        <v>320</v>
      </c>
      <c r="C65" s="17">
        <v>48</v>
      </c>
      <c r="D65" s="17">
        <v>1552</v>
      </c>
      <c r="E65" s="17">
        <v>1600</v>
      </c>
      <c r="F65" s="17">
        <v>2449</v>
      </c>
      <c r="G65" s="18">
        <f>IF(AND(F69&lt;&gt;0,2449&lt;&gt;0),IF(100*2449/(F69-0)&lt;0.005,"*",100*2449/(F69-0)),0)</f>
        <v>0.2500255232261358</v>
      </c>
    </row>
    <row r="66" spans="1:7" ht="15">
      <c r="A66" s="11" t="s">
        <v>376</v>
      </c>
      <c r="B66" s="23" t="s">
        <v>452</v>
      </c>
      <c r="C66" s="17">
        <v>0</v>
      </c>
      <c r="D66" s="17">
        <v>0</v>
      </c>
      <c r="E66" s="17">
        <v>0</v>
      </c>
      <c r="F66" s="17">
        <v>0</v>
      </c>
      <c r="G66" s="18">
        <f>IF(AND(F69&lt;&gt;0,0&lt;&gt;0),IF(100*0/(F69-0)&lt;0.005,"*",100*0/(F69-0)),0)</f>
        <v>0</v>
      </c>
    </row>
    <row r="67" spans="1:7" ht="15">
      <c r="A67" s="11" t="s">
        <v>377</v>
      </c>
      <c r="B67" s="23" t="s">
        <v>453</v>
      </c>
      <c r="C67" s="17">
        <v>0</v>
      </c>
      <c r="D67" s="17">
        <v>0</v>
      </c>
      <c r="E67" s="17">
        <v>0</v>
      </c>
      <c r="F67" s="17">
        <v>0</v>
      </c>
      <c r="G67" s="18">
        <f>IF(AND(F69&lt;&gt;0,0&lt;&gt;0),IF(100*0/(F69-0)&lt;0.005,"*",100*0/(F69-0)),0)</f>
        <v>0</v>
      </c>
    </row>
    <row r="68" spans="1:7" ht="15">
      <c r="A68" s="11" t="s">
        <v>378</v>
      </c>
      <c r="B68" s="23" t="s">
        <v>454</v>
      </c>
      <c r="C68" s="17">
        <v>0</v>
      </c>
      <c r="D68" s="17">
        <v>0</v>
      </c>
      <c r="E68" s="17">
        <v>0</v>
      </c>
      <c r="F68" s="17">
        <v>0</v>
      </c>
      <c r="G68" s="18">
        <f>IF(AND(F69&lt;&gt;0,0&lt;&gt;0),IF(100*0/(F69-0)&lt;0.005,"*",100*0/(F69-0)),0)</f>
        <v>0</v>
      </c>
    </row>
    <row r="69" spans="1:7" ht="15" customHeight="1">
      <c r="A69" s="19" t="s">
        <v>87</v>
      </c>
      <c r="B69" s="20">
        <f>15755+8433+16266+9217+104912+11158+17261+6917+7408+47206+23823+10683+6917+63724+33957+19070+12718+17933+22306+10907+34078+47838+60584+25897+12694+39018+7030+7207+6917+14081+57578+1514+155520+25329+6917+79321+12524+15917+55813+9461+14534+6917+20468+64400+7424+6917+28836+24503+21965+38092+6917+7642+5530+3552+18377+0+4436+11663+0+319.5+3903.3+42+64.3+0</f>
        <v>1438311.1</v>
      </c>
      <c r="C69" s="20" t="s">
        <v>447</v>
      </c>
      <c r="D69" s="20" t="s">
        <v>448</v>
      </c>
      <c r="E69" s="20">
        <f>SUM(C69:D69)</f>
        <v>0</v>
      </c>
      <c r="F69" s="20">
        <f>10589+5668+6396+6195+67731+7575+11602+4649+4649+31967+16012+7335+4649+42831+22823+12817+8548+12053+10411+7331+22905+32153+40720+17406+8532+26253+4649+4844+4649+9464+38699+4649+104531+17092+4649+53313+7651+10698+37513+6359+9702+4649+13757+43285+4990+4649+19381+16469+14763+25602+4649+5144+3722+2391+12352+0+2986+30000+0+2449+0+0+0+0</f>
        <v>979500</v>
      </c>
      <c r="G69" s="22" t="s">
        <v>458</v>
      </c>
    </row>
    <row r="70" spans="1:7" ht="15" customHeight="1">
      <c r="A70" s="33" t="s">
        <v>148</v>
      </c>
      <c r="B70" s="33"/>
      <c r="C70" s="33"/>
      <c r="D70" s="33"/>
      <c r="E70" s="33"/>
      <c r="F70" s="33"/>
      <c r="G70" s="33"/>
    </row>
    <row r="71" spans="1:7" ht="34.5" customHeight="1">
      <c r="A71" s="34" t="s">
        <v>450</v>
      </c>
      <c r="B71" s="34"/>
      <c r="C71" s="34"/>
      <c r="D71" s="34"/>
      <c r="E71" s="34"/>
      <c r="F71" s="34"/>
      <c r="G71" s="34"/>
    </row>
    <row r="72" spans="1:7" ht="27.75" customHeight="1">
      <c r="A72" s="34" t="s">
        <v>451</v>
      </c>
      <c r="B72" s="34"/>
      <c r="C72" s="34"/>
      <c r="D72" s="34"/>
      <c r="E72" s="34"/>
      <c r="F72" s="34"/>
      <c r="G72" s="34"/>
    </row>
    <row r="73" spans="1:7" ht="15" customHeight="1">
      <c r="A73" s="34" t="s">
        <v>455</v>
      </c>
      <c r="B73" s="34"/>
      <c r="C73" s="34"/>
      <c r="D73" s="34"/>
      <c r="E73" s="34"/>
      <c r="F73" s="34"/>
      <c r="G73" s="34"/>
    </row>
    <row r="74" spans="1:7" ht="15" customHeight="1">
      <c r="A74" s="34" t="s">
        <v>456</v>
      </c>
      <c r="B74" s="34"/>
      <c r="C74" s="34"/>
      <c r="D74" s="34"/>
      <c r="E74" s="34"/>
      <c r="F74" s="34"/>
      <c r="G74" s="34"/>
    </row>
    <row r="75" spans="1:7" ht="15" customHeight="1">
      <c r="A75" s="34" t="s">
        <v>457</v>
      </c>
      <c r="B75" s="34"/>
      <c r="C75" s="34"/>
      <c r="D75" s="34"/>
      <c r="E75" s="34"/>
      <c r="F75" s="34"/>
      <c r="G75" s="34"/>
    </row>
    <row r="76" spans="1:7" ht="15" customHeight="1">
      <c r="A76" s="26" t="s">
        <v>432</v>
      </c>
      <c r="B76" s="26"/>
      <c r="C76" s="26"/>
      <c r="D76" s="26"/>
      <c r="E76" s="26"/>
      <c r="F76" s="26"/>
      <c r="G76" s="26"/>
    </row>
  </sheetData>
  <sheetProtection/>
  <mergeCells count="11">
    <mergeCell ref="A4:A5"/>
    <mergeCell ref="B4:B5"/>
    <mergeCell ref="F4:F5"/>
    <mergeCell ref="G4:G5"/>
    <mergeCell ref="A70:G70"/>
    <mergeCell ref="A71:G71"/>
    <mergeCell ref="A72:G72"/>
    <mergeCell ref="A73:G73"/>
    <mergeCell ref="A74:G74"/>
    <mergeCell ref="A76:G76"/>
    <mergeCell ref="A75:G75"/>
  </mergeCells>
  <printOptions/>
  <pageMargins left="0.7" right="0.7" top="0.75" bottom="0.75" header="0.3" footer="0.3"/>
  <pageSetup fitToHeight="1" fitToWidth="1" orientation="portrait" paperSize="9"/>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373</v>
      </c>
      <c r="B1" s="10"/>
      <c r="C1" s="10"/>
      <c r="D1" s="10"/>
      <c r="E1" s="10"/>
      <c r="F1" s="10"/>
      <c r="G1" s="12" t="s">
        <v>374</v>
      </c>
    </row>
    <row r="2" spans="1:7" ht="12.75">
      <c r="A2" s="13" t="s">
        <v>379</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16781</v>
      </c>
      <c r="C6" s="17">
        <v>481</v>
      </c>
      <c r="D6" s="17">
        <v>15544</v>
      </c>
      <c r="E6" s="17">
        <v>16025</v>
      </c>
      <c r="F6" s="17">
        <v>19013</v>
      </c>
      <c r="G6" s="18">
        <f>IF(AND(F68&lt;&gt;0,19013&lt;&gt;0),IF(100*19013/(F68-0)&lt;0.005,"*",100*19013/(F68-0)),0)</f>
        <v>1.863106320431161</v>
      </c>
    </row>
    <row r="7" spans="1:7" ht="12.75">
      <c r="A7" s="11" t="s">
        <v>89</v>
      </c>
      <c r="B7" s="17">
        <v>8787</v>
      </c>
      <c r="C7" s="17">
        <v>252</v>
      </c>
      <c r="D7" s="17">
        <v>8139</v>
      </c>
      <c r="E7" s="17">
        <v>8391</v>
      </c>
      <c r="F7" s="17">
        <v>9955</v>
      </c>
      <c r="G7" s="18">
        <f>IF(AND(F68&lt;&gt;0,9955&lt;&gt;0),IF(100*9955/(F68-0)&lt;0.005,"*",100*9955/(F68-0)),0)</f>
        <v>0.9755022048015679</v>
      </c>
    </row>
    <row r="8" spans="1:7" ht="12.75">
      <c r="A8" s="11" t="s">
        <v>90</v>
      </c>
      <c r="B8" s="17">
        <v>23270</v>
      </c>
      <c r="C8" s="17">
        <v>454</v>
      </c>
      <c r="D8" s="17">
        <v>14695</v>
      </c>
      <c r="E8" s="17">
        <v>15149</v>
      </c>
      <c r="F8" s="17">
        <v>17974</v>
      </c>
      <c r="G8" s="18">
        <f>IF(AND(F68&lt;&gt;0,17974&lt;&gt;0),IF(100*17974/(F68-0)&lt;0.005,"*",100*17974/(F68-0)),0)</f>
        <v>1.7612934835864773</v>
      </c>
    </row>
    <row r="9" spans="1:7" ht="12.75">
      <c r="A9" s="11" t="s">
        <v>91</v>
      </c>
      <c r="B9" s="17">
        <v>13445</v>
      </c>
      <c r="C9" s="17">
        <v>385</v>
      </c>
      <c r="D9" s="17">
        <v>12454</v>
      </c>
      <c r="E9" s="17">
        <v>12839</v>
      </c>
      <c r="F9" s="17">
        <v>15233</v>
      </c>
      <c r="G9" s="18">
        <f>IF(AND(F68&lt;&gt;0,15233&lt;&gt;0),IF(100*15233/(F68-0)&lt;0.005,"*",100*15233/(F68-0)),0)</f>
        <v>1.4926996570308673</v>
      </c>
    </row>
    <row r="10" spans="1:7" ht="12.75">
      <c r="A10" s="11" t="s">
        <v>92</v>
      </c>
      <c r="B10" s="17">
        <v>83765</v>
      </c>
      <c r="C10" s="17">
        <v>2368</v>
      </c>
      <c r="D10" s="17">
        <v>76576</v>
      </c>
      <c r="E10" s="17">
        <v>78944</v>
      </c>
      <c r="F10" s="17">
        <v>93673</v>
      </c>
      <c r="G10" s="18">
        <f>IF(AND(F68&lt;&gt;0,93673&lt;&gt;0),IF(100*93673/(F68-0)&lt;0.005,"*",100*93673/(F68-0)),0)</f>
        <v>9.179127878490936</v>
      </c>
    </row>
    <row r="11" spans="1:7" ht="12.75">
      <c r="A11" s="11" t="s">
        <v>93</v>
      </c>
      <c r="B11" s="17">
        <v>15293</v>
      </c>
      <c r="C11" s="17">
        <v>438</v>
      </c>
      <c r="D11" s="17">
        <v>14166</v>
      </c>
      <c r="E11" s="17">
        <v>14604</v>
      </c>
      <c r="F11" s="17">
        <v>17327</v>
      </c>
      <c r="G11" s="18">
        <f>IF(AND(F68&lt;&gt;0,17327&lt;&gt;0),IF(100*17327/(F68-0)&lt;0.005,"*",100*17327/(F68-0)),0)</f>
        <v>1.6978931896129348</v>
      </c>
    </row>
    <row r="12" spans="1:7" ht="12.75">
      <c r="A12" s="11" t="s">
        <v>94</v>
      </c>
      <c r="B12" s="17">
        <v>8903</v>
      </c>
      <c r="C12" s="17">
        <v>255</v>
      </c>
      <c r="D12" s="17">
        <v>8247</v>
      </c>
      <c r="E12" s="17">
        <v>8502</v>
      </c>
      <c r="F12" s="17">
        <v>10087</v>
      </c>
      <c r="G12" s="18">
        <f>IF(AND(F68&lt;&gt;0,10087&lt;&gt;0),IF(100*10087/(F68-0)&lt;0.005,"*",100*10087/(F68-0)),0)</f>
        <v>0.9884370406663401</v>
      </c>
    </row>
    <row r="13" spans="1:7" ht="12.75">
      <c r="A13" s="11" t="s">
        <v>95</v>
      </c>
      <c r="B13" s="17">
        <v>8787</v>
      </c>
      <c r="C13" s="17">
        <v>252</v>
      </c>
      <c r="D13" s="17">
        <v>8139</v>
      </c>
      <c r="E13" s="17">
        <v>8391</v>
      </c>
      <c r="F13" s="17">
        <v>9955</v>
      </c>
      <c r="G13" s="18">
        <f>IF(AND(F68&lt;&gt;0,9955&lt;&gt;0),IF(100*9955/(F68-0)&lt;0.005,"*",100*9955/(F68-0)),0)</f>
        <v>0.9755022048015679</v>
      </c>
    </row>
    <row r="14" spans="1:7" ht="12.75">
      <c r="A14" s="11" t="s">
        <v>96</v>
      </c>
      <c r="B14" s="17">
        <v>10163</v>
      </c>
      <c r="C14" s="17">
        <v>252</v>
      </c>
      <c r="D14" s="17">
        <v>8139</v>
      </c>
      <c r="E14" s="17">
        <v>8391</v>
      </c>
      <c r="F14" s="17">
        <v>9955</v>
      </c>
      <c r="G14" s="18">
        <f>IF(AND(F68&lt;&gt;0,9955&lt;&gt;0),IF(100*9955/(F68-0)&lt;0.005,"*",100*9955/(F68-0)),0)</f>
        <v>0.9755022048015679</v>
      </c>
    </row>
    <row r="15" spans="1:7" ht="12.75">
      <c r="A15" s="11" t="s">
        <v>97</v>
      </c>
      <c r="B15" s="17">
        <v>32817</v>
      </c>
      <c r="C15" s="17">
        <v>921</v>
      </c>
      <c r="D15" s="17">
        <v>29768</v>
      </c>
      <c r="E15" s="17">
        <v>30689</v>
      </c>
      <c r="F15" s="17">
        <v>36413</v>
      </c>
      <c r="G15" s="18">
        <f>IF(AND(F68&lt;&gt;0,36413&lt;&gt;0),IF(100*36413/(F68-0)&lt;0.005,"*",100*36413/(F68-0)),0)</f>
        <v>3.568152866242038</v>
      </c>
    </row>
    <row r="16" spans="1:7" ht="12.75">
      <c r="A16" s="11" t="s">
        <v>98</v>
      </c>
      <c r="B16" s="17">
        <v>19157</v>
      </c>
      <c r="C16" s="17">
        <v>549</v>
      </c>
      <c r="D16" s="17">
        <v>17745</v>
      </c>
      <c r="E16" s="17">
        <v>18294</v>
      </c>
      <c r="F16" s="17">
        <v>21705</v>
      </c>
      <c r="G16" s="18">
        <f>IF(AND(F68&lt;&gt;0,21705&lt;&gt;0),IF(100*21705/(F68-0)&lt;0.005,"*",100*21705/(F68-0)),0)</f>
        <v>2.1268985791278783</v>
      </c>
    </row>
    <row r="17" spans="1:7" ht="12.75">
      <c r="A17" s="11" t="s">
        <v>99</v>
      </c>
      <c r="B17" s="17">
        <v>8889</v>
      </c>
      <c r="C17" s="17">
        <v>252</v>
      </c>
      <c r="D17" s="17">
        <v>8139</v>
      </c>
      <c r="E17" s="17">
        <v>8391</v>
      </c>
      <c r="F17" s="17">
        <v>9955</v>
      </c>
      <c r="G17" s="18">
        <f>IF(AND(F68&lt;&gt;0,9955&lt;&gt;0),IF(100*9955/(F68-0)&lt;0.005,"*",100*9955/(F68-0)),0)</f>
        <v>0.9755022048015679</v>
      </c>
    </row>
    <row r="18" spans="1:7" ht="12.75">
      <c r="A18" s="11" t="s">
        <v>100</v>
      </c>
      <c r="B18" s="17">
        <v>8787</v>
      </c>
      <c r="C18" s="17">
        <v>252</v>
      </c>
      <c r="D18" s="17">
        <v>8139</v>
      </c>
      <c r="E18" s="17">
        <v>8391</v>
      </c>
      <c r="F18" s="17">
        <v>9955</v>
      </c>
      <c r="G18" s="18">
        <f>IF(AND(F68&lt;&gt;0,9955&lt;&gt;0),IF(100*9955/(F68-0)&lt;0.005,"*",100*9955/(F68-0)),0)</f>
        <v>0.9755022048015679</v>
      </c>
    </row>
    <row r="19" spans="1:7" ht="12.75">
      <c r="A19" s="11" t="s">
        <v>101</v>
      </c>
      <c r="B19" s="17">
        <v>36668</v>
      </c>
      <c r="C19" s="17">
        <v>1050</v>
      </c>
      <c r="D19" s="17">
        <v>33965</v>
      </c>
      <c r="E19" s="17">
        <v>35015</v>
      </c>
      <c r="F19" s="17">
        <v>41546</v>
      </c>
      <c r="G19" s="18">
        <f>IF(AND(F68&lt;&gt;0,41546&lt;&gt;0),IF(100*41546/(F68-0)&lt;0.005,"*",100*41546/(F68-0)),0)</f>
        <v>4.071141597256247</v>
      </c>
    </row>
    <row r="20" spans="1:7" ht="12.75">
      <c r="A20" s="11" t="s">
        <v>102</v>
      </c>
      <c r="B20" s="17">
        <v>14253</v>
      </c>
      <c r="C20" s="17">
        <v>408</v>
      </c>
      <c r="D20" s="17">
        <v>13203</v>
      </c>
      <c r="E20" s="17">
        <v>13611</v>
      </c>
      <c r="F20" s="17">
        <v>16149</v>
      </c>
      <c r="G20" s="18">
        <f>IF(AND(F68&lt;&gt;0,16149&lt;&gt;0),IF(100*16149/(F68-0)&lt;0.005,"*",100*16149/(F68-0)),0)</f>
        <v>1.5824595786379225</v>
      </c>
    </row>
    <row r="21" spans="1:7" ht="12.75">
      <c r="A21" s="11" t="s">
        <v>103</v>
      </c>
      <c r="B21" s="17">
        <v>13142</v>
      </c>
      <c r="C21" s="17">
        <v>377</v>
      </c>
      <c r="D21" s="17">
        <v>12174</v>
      </c>
      <c r="E21" s="17">
        <v>12551</v>
      </c>
      <c r="F21" s="17">
        <v>14890</v>
      </c>
      <c r="G21" s="18">
        <f>IF(AND(F68&lt;&gt;0,14890&lt;&gt;0),IF(100*14890/(F68-0)&lt;0.005,"*",100*14890/(F68-0)),0)</f>
        <v>1.4590886820186184</v>
      </c>
    </row>
    <row r="22" spans="1:7" ht="12.75">
      <c r="A22" s="11" t="s">
        <v>104</v>
      </c>
      <c r="B22" s="17">
        <v>10227</v>
      </c>
      <c r="C22" s="17">
        <v>287</v>
      </c>
      <c r="D22" s="17">
        <v>9276</v>
      </c>
      <c r="E22" s="17">
        <v>9563</v>
      </c>
      <c r="F22" s="17">
        <v>11346</v>
      </c>
      <c r="G22" s="18">
        <f>IF(AND(F68&lt;&gt;0,11346&lt;&gt;0),IF(100*11346/(F68-0)&lt;0.005,"*",100*11346/(F68-0)),0)</f>
        <v>1.1118079372856442</v>
      </c>
    </row>
    <row r="23" spans="1:7" ht="12.75">
      <c r="A23" s="11" t="s">
        <v>105</v>
      </c>
      <c r="B23" s="17">
        <v>13680</v>
      </c>
      <c r="C23" s="17">
        <v>392</v>
      </c>
      <c r="D23" s="17">
        <v>12671</v>
      </c>
      <c r="E23" s="17">
        <v>13063</v>
      </c>
      <c r="F23" s="17">
        <v>15499</v>
      </c>
      <c r="G23" s="18">
        <f>IF(AND(F68&lt;&gt;0,15499&lt;&gt;0),IF(100*15499/(F68-0)&lt;0.005,"*",100*15499/(F68-0)),0)</f>
        <v>1.518765311121999</v>
      </c>
    </row>
    <row r="24" spans="1:7" ht="12.75">
      <c r="A24" s="11" t="s">
        <v>106</v>
      </c>
      <c r="B24" s="17">
        <v>12047</v>
      </c>
      <c r="C24" s="17">
        <v>345</v>
      </c>
      <c r="D24" s="17">
        <v>11159</v>
      </c>
      <c r="E24" s="17">
        <v>11504</v>
      </c>
      <c r="F24" s="17">
        <v>13649</v>
      </c>
      <c r="G24" s="18">
        <f>IF(AND(F68&lt;&gt;0,13649&lt;&gt;0),IF(100*13649/(F68-0)&lt;0.005,"*",100*13649/(F68-0)),0)</f>
        <v>1.3374816266536012</v>
      </c>
    </row>
    <row r="25" spans="1:7" ht="12.75">
      <c r="A25" s="11" t="s">
        <v>107</v>
      </c>
      <c r="B25" s="17">
        <v>8787</v>
      </c>
      <c r="C25" s="17">
        <v>252</v>
      </c>
      <c r="D25" s="17">
        <v>8139</v>
      </c>
      <c r="E25" s="17">
        <v>8391</v>
      </c>
      <c r="F25" s="17">
        <v>9955</v>
      </c>
      <c r="G25" s="18">
        <f>IF(AND(F68&lt;&gt;0,9955&lt;&gt;0),IF(100*9955/(F68-0)&lt;0.005,"*",100*9955/(F68-0)),0)</f>
        <v>0.9755022048015679</v>
      </c>
    </row>
    <row r="26" spans="1:7" ht="12.75">
      <c r="A26" s="11" t="s">
        <v>108</v>
      </c>
      <c r="B26" s="17">
        <v>14913</v>
      </c>
      <c r="C26" s="17">
        <v>427</v>
      </c>
      <c r="D26" s="17">
        <v>13814</v>
      </c>
      <c r="E26" s="17">
        <v>14241</v>
      </c>
      <c r="F26" s="17">
        <v>16896</v>
      </c>
      <c r="G26" s="18">
        <f>IF(AND(F68&lt;&gt;0,16896&lt;&gt;0),IF(100*16896/(F68-0)&lt;0.005,"*",100*16896/(F68-0)),0)</f>
        <v>1.6556589906908379</v>
      </c>
    </row>
    <row r="27" spans="1:7" ht="12.75">
      <c r="A27" s="11" t="s">
        <v>109</v>
      </c>
      <c r="B27" s="17">
        <v>16333</v>
      </c>
      <c r="C27" s="17">
        <v>468</v>
      </c>
      <c r="D27" s="17">
        <v>15129</v>
      </c>
      <c r="E27" s="17">
        <v>15597</v>
      </c>
      <c r="F27" s="17">
        <v>18505</v>
      </c>
      <c r="G27" s="18">
        <f>IF(AND(F68&lt;&gt;0,18505&lt;&gt;0),IF(100*18505/(F68-0)&lt;0.005,"*",100*18505/(F68-0)),0)</f>
        <v>1.813326800587947</v>
      </c>
    </row>
    <row r="28" spans="1:7" ht="12.75">
      <c r="A28" s="11" t="s">
        <v>110</v>
      </c>
      <c r="B28" s="17">
        <v>27349</v>
      </c>
      <c r="C28" s="17">
        <v>784</v>
      </c>
      <c r="D28" s="17">
        <v>25333</v>
      </c>
      <c r="E28" s="17">
        <v>26117</v>
      </c>
      <c r="F28" s="17">
        <v>30987</v>
      </c>
      <c r="G28" s="18">
        <f>IF(AND(F68&lt;&gt;0,30987&lt;&gt;0),IF(100*30987/(F68-0)&lt;0.005,"*",100*30987/(F68-0)),0)</f>
        <v>3.036452719255267</v>
      </c>
    </row>
    <row r="29" spans="1:7" ht="12.75">
      <c r="A29" s="11" t="s">
        <v>111</v>
      </c>
      <c r="B29" s="17">
        <v>15723</v>
      </c>
      <c r="C29" s="17">
        <v>450</v>
      </c>
      <c r="D29" s="17">
        <v>14565</v>
      </c>
      <c r="E29" s="17">
        <v>15015</v>
      </c>
      <c r="F29" s="17">
        <v>17814</v>
      </c>
      <c r="G29" s="18">
        <f>IF(AND(F68&lt;&gt;0,17814&lt;&gt;0),IF(100*17814/(F68-0)&lt;0.005,"*",100*17814/(F68-0)),0)</f>
        <v>1.7456148946594807</v>
      </c>
    </row>
    <row r="30" spans="1:7" ht="12.75">
      <c r="A30" s="11" t="s">
        <v>112</v>
      </c>
      <c r="B30" s="17">
        <v>9099</v>
      </c>
      <c r="C30" s="17">
        <v>261</v>
      </c>
      <c r="D30" s="17">
        <v>8427</v>
      </c>
      <c r="E30" s="17">
        <v>8688</v>
      </c>
      <c r="F30" s="17">
        <v>10308</v>
      </c>
      <c r="G30" s="18">
        <f>IF(AND(F68&lt;&gt;0,10308&lt;&gt;0),IF(100*10308/(F68-0)&lt;0.005,"*",100*10308/(F68-0)),0)</f>
        <v>1.010093091621754</v>
      </c>
    </row>
    <row r="31" spans="1:7" ht="12.75">
      <c r="A31" s="11" t="s">
        <v>113</v>
      </c>
      <c r="B31" s="17">
        <v>17733</v>
      </c>
      <c r="C31" s="17">
        <v>508</v>
      </c>
      <c r="D31" s="17">
        <v>16431</v>
      </c>
      <c r="E31" s="17">
        <v>16939</v>
      </c>
      <c r="F31" s="17">
        <v>20097</v>
      </c>
      <c r="G31" s="18">
        <f>IF(AND(F68&lt;&gt;0,20097&lt;&gt;0),IF(100*20097/(F68-0)&lt;0.005,"*",100*20097/(F68-0)),0)</f>
        <v>1.969328760411563</v>
      </c>
    </row>
    <row r="32" spans="1:7" ht="12.75">
      <c r="A32" s="11" t="s">
        <v>114</v>
      </c>
      <c r="B32" s="17">
        <v>8787</v>
      </c>
      <c r="C32" s="17">
        <v>252</v>
      </c>
      <c r="D32" s="17">
        <v>8139</v>
      </c>
      <c r="E32" s="17">
        <v>8391</v>
      </c>
      <c r="F32" s="17">
        <v>9955</v>
      </c>
      <c r="G32" s="18">
        <f>IF(AND(F68&lt;&gt;0,9955&lt;&gt;0),IF(100*9955/(F68-0)&lt;0.005,"*",100*9955/(F68-0)),0)</f>
        <v>0.9755022048015679</v>
      </c>
    </row>
    <row r="33" spans="1:7" ht="12.75">
      <c r="A33" s="11" t="s">
        <v>115</v>
      </c>
      <c r="B33" s="17">
        <v>8787</v>
      </c>
      <c r="C33" s="17">
        <v>252</v>
      </c>
      <c r="D33" s="17">
        <v>8139</v>
      </c>
      <c r="E33" s="17">
        <v>8391</v>
      </c>
      <c r="F33" s="17">
        <v>9955</v>
      </c>
      <c r="G33" s="18">
        <f>IF(AND(F68&lt;&gt;0,9955&lt;&gt;0),IF(100*9955/(F68-0)&lt;0.005,"*",100*9955/(F68-0)),0)</f>
        <v>0.9755022048015679</v>
      </c>
    </row>
    <row r="34" spans="1:7" ht="12.75">
      <c r="A34" s="11" t="s">
        <v>116</v>
      </c>
      <c r="B34" s="17">
        <v>12531</v>
      </c>
      <c r="C34" s="17">
        <v>359</v>
      </c>
      <c r="D34" s="17">
        <v>11607</v>
      </c>
      <c r="E34" s="17">
        <v>11966</v>
      </c>
      <c r="F34" s="17">
        <v>14198</v>
      </c>
      <c r="G34" s="18">
        <f>IF(AND(F68&lt;&gt;0,14198&lt;&gt;0),IF(100*14198/(F68-0)&lt;0.005,"*",100*14198/(F68-0)),0)</f>
        <v>1.3912787849093582</v>
      </c>
    </row>
    <row r="35" spans="1:7" ht="12.75">
      <c r="A35" s="11" t="s">
        <v>117</v>
      </c>
      <c r="B35" s="17">
        <v>8787</v>
      </c>
      <c r="C35" s="17">
        <v>252</v>
      </c>
      <c r="D35" s="17">
        <v>8139</v>
      </c>
      <c r="E35" s="17">
        <v>8391</v>
      </c>
      <c r="F35" s="17">
        <v>9955</v>
      </c>
      <c r="G35" s="18">
        <f>IF(AND(F68&lt;&gt;0,9955&lt;&gt;0),IF(100*9955/(F68-0)&lt;0.005,"*",100*9955/(F68-0)),0)</f>
        <v>0.9755022048015679</v>
      </c>
    </row>
    <row r="36" spans="1:7" ht="12.75">
      <c r="A36" s="11" t="s">
        <v>118</v>
      </c>
      <c r="B36" s="17">
        <v>16718</v>
      </c>
      <c r="C36" s="17">
        <v>479</v>
      </c>
      <c r="D36" s="17">
        <v>15485</v>
      </c>
      <c r="E36" s="17">
        <v>15964</v>
      </c>
      <c r="F36" s="17">
        <v>18941</v>
      </c>
      <c r="G36" s="18">
        <f>IF(AND(F68&lt;&gt;0,18941&lt;&gt;0),IF(100*18941/(F68-0)&lt;0.005,"*",100*18941/(F68-0)),0)</f>
        <v>1.8560509554140128</v>
      </c>
    </row>
    <row r="37" spans="1:7" ht="12.75">
      <c r="A37" s="11" t="s">
        <v>119</v>
      </c>
      <c r="B37" s="17">
        <v>10234</v>
      </c>
      <c r="C37" s="17">
        <v>252</v>
      </c>
      <c r="D37" s="17">
        <v>8139</v>
      </c>
      <c r="E37" s="17">
        <v>8391</v>
      </c>
      <c r="F37" s="17">
        <v>9955</v>
      </c>
      <c r="G37" s="18">
        <f>IF(AND(F68&lt;&gt;0,9955&lt;&gt;0),IF(100*9955/(F68-0)&lt;0.005,"*",100*9955/(F68-0)),0)</f>
        <v>0.9755022048015679</v>
      </c>
    </row>
    <row r="38" spans="1:7" ht="12.75">
      <c r="A38" s="11" t="s">
        <v>120</v>
      </c>
      <c r="B38" s="17">
        <v>42176</v>
      </c>
      <c r="C38" s="17">
        <v>1208</v>
      </c>
      <c r="D38" s="17">
        <v>39067</v>
      </c>
      <c r="E38" s="17">
        <v>40275</v>
      </c>
      <c r="F38" s="17">
        <v>47786</v>
      </c>
      <c r="G38" s="18">
        <f>IF(AND(F68&lt;&gt;0,47786&lt;&gt;0),IF(100*47786/(F68-0)&lt;0.005,"*",100*47786/(F68-0)),0)</f>
        <v>4.682606565409113</v>
      </c>
    </row>
    <row r="39" spans="1:7" ht="12.75">
      <c r="A39" s="11" t="s">
        <v>121</v>
      </c>
      <c r="B39" s="17">
        <v>20546</v>
      </c>
      <c r="C39" s="17">
        <v>589</v>
      </c>
      <c r="D39" s="17">
        <v>19043</v>
      </c>
      <c r="E39" s="17">
        <v>19632</v>
      </c>
      <c r="F39" s="17">
        <v>23293</v>
      </c>
      <c r="G39" s="18">
        <f>IF(AND(F68&lt;&gt;0,23293&lt;&gt;0),IF(100*23293/(F68-0)&lt;0.005,"*",100*23293/(F68-0)),0)</f>
        <v>2.2825085742283195</v>
      </c>
    </row>
    <row r="40" spans="1:7" ht="12.75">
      <c r="A40" s="11" t="s">
        <v>122</v>
      </c>
      <c r="B40" s="17">
        <v>8787</v>
      </c>
      <c r="C40" s="17">
        <v>252</v>
      </c>
      <c r="D40" s="17">
        <v>8139</v>
      </c>
      <c r="E40" s="17">
        <v>8391</v>
      </c>
      <c r="F40" s="17">
        <v>9955</v>
      </c>
      <c r="G40" s="18">
        <f>IF(AND(F68&lt;&gt;0,9955&lt;&gt;0),IF(100*9955/(F68-0)&lt;0.005,"*",100*9955/(F68-0)),0)</f>
        <v>0.9755022048015679</v>
      </c>
    </row>
    <row r="41" spans="1:7" ht="12.75">
      <c r="A41" s="11" t="s">
        <v>123</v>
      </c>
      <c r="B41" s="17">
        <v>24425</v>
      </c>
      <c r="C41" s="17">
        <v>700</v>
      </c>
      <c r="D41" s="17">
        <v>22624</v>
      </c>
      <c r="E41" s="17">
        <v>23324</v>
      </c>
      <c r="F41" s="17">
        <v>27674</v>
      </c>
      <c r="G41" s="18">
        <f>IF(AND(F68&lt;&gt;0,27674&lt;&gt;0),IF(100*27674/(F68-0)&lt;0.005,"*",100*27674/(F68-0)),0)</f>
        <v>2.7118079372856445</v>
      </c>
    </row>
    <row r="42" spans="1:7" ht="12.75">
      <c r="A42" s="11" t="s">
        <v>124</v>
      </c>
      <c r="B42" s="17">
        <v>14384</v>
      </c>
      <c r="C42" s="17">
        <v>406</v>
      </c>
      <c r="D42" s="17">
        <v>13113</v>
      </c>
      <c r="E42" s="17">
        <v>13519</v>
      </c>
      <c r="F42" s="17">
        <v>16040</v>
      </c>
      <c r="G42" s="18">
        <f>IF(AND(F68&lt;&gt;0,16040&lt;&gt;0),IF(100*16040/(F68-0)&lt;0.005,"*",100*16040/(F68-0)),0)</f>
        <v>1.5717785399314061</v>
      </c>
    </row>
    <row r="43" spans="1:7" ht="12.75">
      <c r="A43" s="11" t="s">
        <v>125</v>
      </c>
      <c r="B43" s="17">
        <v>12614</v>
      </c>
      <c r="C43" s="17">
        <v>358</v>
      </c>
      <c r="D43" s="17">
        <v>11560</v>
      </c>
      <c r="E43" s="17">
        <v>11918</v>
      </c>
      <c r="F43" s="17">
        <v>14140</v>
      </c>
      <c r="G43" s="18">
        <f>IF(AND(F68&lt;&gt;0,14140&lt;&gt;0),IF(100*14140/(F68-0)&lt;0.005,"*",100*14140/(F68-0)),0)</f>
        <v>1.3855952964233218</v>
      </c>
    </row>
    <row r="44" spans="1:7" ht="12.75">
      <c r="A44" s="11" t="s">
        <v>126</v>
      </c>
      <c r="B44" s="17">
        <v>28094</v>
      </c>
      <c r="C44" s="17">
        <v>805</v>
      </c>
      <c r="D44" s="17">
        <v>26023</v>
      </c>
      <c r="E44" s="17">
        <v>26828</v>
      </c>
      <c r="F44" s="17">
        <v>31831</v>
      </c>
      <c r="G44" s="18">
        <f>IF(AND(F68&lt;&gt;0,31831&lt;&gt;0),IF(100*31831/(F68-0)&lt;0.005,"*",100*31831/(F68-0)),0)</f>
        <v>3.1191572758451738</v>
      </c>
    </row>
    <row r="45" spans="1:7" ht="12.75">
      <c r="A45" s="11" t="s">
        <v>127</v>
      </c>
      <c r="B45" s="17">
        <v>8787</v>
      </c>
      <c r="C45" s="17">
        <v>252</v>
      </c>
      <c r="D45" s="17">
        <v>8139</v>
      </c>
      <c r="E45" s="17">
        <v>8391</v>
      </c>
      <c r="F45" s="17">
        <v>9955</v>
      </c>
      <c r="G45" s="18">
        <f>IF(AND(F68&lt;&gt;0,9955&lt;&gt;0),IF(100*9955/(F68-0)&lt;0.005,"*",100*9955/(F68-0)),0)</f>
        <v>0.9755022048015679</v>
      </c>
    </row>
    <row r="46" spans="1:7" ht="12.75">
      <c r="A46" s="11" t="s">
        <v>128</v>
      </c>
      <c r="B46" s="17">
        <v>8775</v>
      </c>
      <c r="C46" s="17">
        <v>252</v>
      </c>
      <c r="D46" s="17">
        <v>8139</v>
      </c>
      <c r="E46" s="17">
        <v>8391</v>
      </c>
      <c r="F46" s="17">
        <v>9955</v>
      </c>
      <c r="G46" s="18">
        <f>IF(AND(F68&lt;&gt;0,9955&lt;&gt;0),IF(100*9955/(F68-0)&lt;0.005,"*",100*9955/(F68-0)),0)</f>
        <v>0.9755022048015679</v>
      </c>
    </row>
    <row r="47" spans="1:7" ht="12.75">
      <c r="A47" s="11" t="s">
        <v>129</v>
      </c>
      <c r="B47" s="17">
        <v>8787</v>
      </c>
      <c r="C47" s="17">
        <v>252</v>
      </c>
      <c r="D47" s="17">
        <v>8139</v>
      </c>
      <c r="E47" s="17">
        <v>8391</v>
      </c>
      <c r="F47" s="17">
        <v>9955</v>
      </c>
      <c r="G47" s="18">
        <f>IF(AND(F68&lt;&gt;0,9955&lt;&gt;0),IF(100*9955/(F68-0)&lt;0.005,"*",100*9955/(F68-0)),0)</f>
        <v>0.9755022048015679</v>
      </c>
    </row>
    <row r="48" spans="1:7" ht="12.75">
      <c r="A48" s="11" t="s">
        <v>130</v>
      </c>
      <c r="B48" s="17">
        <v>8787</v>
      </c>
      <c r="C48" s="17">
        <v>252</v>
      </c>
      <c r="D48" s="17">
        <v>8139</v>
      </c>
      <c r="E48" s="17">
        <v>8391</v>
      </c>
      <c r="F48" s="17">
        <v>9955</v>
      </c>
      <c r="G48" s="18">
        <f>IF(AND(F68&lt;&gt;0,9955&lt;&gt;0),IF(100*9955/(F68-0)&lt;0.005,"*",100*9955/(F68-0)),0)</f>
        <v>0.9755022048015679</v>
      </c>
    </row>
    <row r="49" spans="1:7" ht="12.75">
      <c r="A49" s="11" t="s">
        <v>131</v>
      </c>
      <c r="B49" s="17">
        <v>63564</v>
      </c>
      <c r="C49" s="17">
        <v>1819</v>
      </c>
      <c r="D49" s="17">
        <v>58848</v>
      </c>
      <c r="E49" s="17">
        <v>60667</v>
      </c>
      <c r="F49" s="17">
        <v>71984</v>
      </c>
      <c r="G49" s="18">
        <f>IF(AND(F68&lt;&gt;0,71984&lt;&gt;0),IF(100*71984/(F68-0)&lt;0.005,"*",100*71984/(F68-0)),0)</f>
        <v>7.053797158255757</v>
      </c>
    </row>
    <row r="50" spans="1:7" ht="12.75">
      <c r="A50" s="11" t="s">
        <v>132</v>
      </c>
      <c r="B50" s="17">
        <v>9169</v>
      </c>
      <c r="C50" s="17">
        <v>263</v>
      </c>
      <c r="D50" s="17">
        <v>8493</v>
      </c>
      <c r="E50" s="17">
        <v>8756</v>
      </c>
      <c r="F50" s="17">
        <v>10388</v>
      </c>
      <c r="G50" s="18">
        <f>IF(AND(F68&lt;&gt;0,10388&lt;&gt;0),IF(100*10388/(F68-0)&lt;0.005,"*",100*10388/(F68-0)),0)</f>
        <v>1.0179323860852523</v>
      </c>
    </row>
    <row r="51" spans="1:7" ht="12.75">
      <c r="A51" s="11" t="s">
        <v>133</v>
      </c>
      <c r="B51" s="17">
        <v>8787</v>
      </c>
      <c r="C51" s="17">
        <v>252</v>
      </c>
      <c r="D51" s="17">
        <v>8139</v>
      </c>
      <c r="E51" s="17">
        <v>8391</v>
      </c>
      <c r="F51" s="17">
        <v>9955</v>
      </c>
      <c r="G51" s="18">
        <f>IF(AND(F68&lt;&gt;0,9955&lt;&gt;0),IF(100*9955/(F68-0)&lt;0.005,"*",100*9955/(F68-0)),0)</f>
        <v>0.9755022048015679</v>
      </c>
    </row>
    <row r="52" spans="1:7" ht="12.75">
      <c r="A52" s="11" t="s">
        <v>134</v>
      </c>
      <c r="B52" s="17">
        <v>14557</v>
      </c>
      <c r="C52" s="17">
        <v>417</v>
      </c>
      <c r="D52" s="17">
        <v>13484</v>
      </c>
      <c r="E52" s="17">
        <v>13901</v>
      </c>
      <c r="F52" s="17">
        <v>16493</v>
      </c>
      <c r="G52" s="18">
        <f>IF(AND(F68&lt;&gt;0,16493&lt;&gt;0),IF(100*16493/(F68-0)&lt;0.005,"*",100*16493/(F68-0)),0)</f>
        <v>1.6161685448309653</v>
      </c>
    </row>
    <row r="53" spans="1:7" ht="12.75">
      <c r="A53" s="11" t="s">
        <v>135</v>
      </c>
      <c r="B53" s="17">
        <v>19611</v>
      </c>
      <c r="C53" s="17">
        <v>562</v>
      </c>
      <c r="D53" s="17">
        <v>18165</v>
      </c>
      <c r="E53" s="17">
        <v>18727</v>
      </c>
      <c r="F53" s="17">
        <v>22220</v>
      </c>
      <c r="G53" s="18">
        <f>IF(AND(F68&lt;&gt;0,22220&lt;&gt;0),IF(100*22220/(F68-0)&lt;0.005,"*",100*22220/(F68-0)),0)</f>
        <v>2.1773640372366487</v>
      </c>
    </row>
    <row r="54" spans="1:7" ht="12.75">
      <c r="A54" s="11" t="s">
        <v>136</v>
      </c>
      <c r="B54" s="17">
        <v>8787</v>
      </c>
      <c r="C54" s="17">
        <v>252</v>
      </c>
      <c r="D54" s="17">
        <v>8139</v>
      </c>
      <c r="E54" s="17">
        <v>8391</v>
      </c>
      <c r="F54" s="17">
        <v>9955</v>
      </c>
      <c r="G54" s="18">
        <f>IF(AND(F68&lt;&gt;0,9955&lt;&gt;0),IF(100*9955/(F68-0)&lt;0.005,"*",100*9955/(F68-0)),0)</f>
        <v>0.9755022048015679</v>
      </c>
    </row>
    <row r="55" spans="1:7" ht="12.75">
      <c r="A55" s="11" t="s">
        <v>137</v>
      </c>
      <c r="B55" s="17">
        <v>15323</v>
      </c>
      <c r="C55" s="17">
        <v>439</v>
      </c>
      <c r="D55" s="17">
        <v>14194</v>
      </c>
      <c r="E55" s="17">
        <v>14633</v>
      </c>
      <c r="F55" s="17">
        <v>17362</v>
      </c>
      <c r="G55" s="18">
        <f>IF(AND(F68&lt;&gt;0,17362&lt;&gt;0),IF(100*17362/(F68-0)&lt;0.005,"*",100*17362/(F68-0)),0)</f>
        <v>1.7013228809407153</v>
      </c>
    </row>
    <row r="56" spans="1:7" ht="12.75">
      <c r="A56" s="11" t="s">
        <v>138</v>
      </c>
      <c r="B56" s="17">
        <v>8787</v>
      </c>
      <c r="C56" s="17">
        <v>252</v>
      </c>
      <c r="D56" s="17">
        <v>8139</v>
      </c>
      <c r="E56" s="17">
        <v>8391</v>
      </c>
      <c r="F56" s="17">
        <v>9955</v>
      </c>
      <c r="G56" s="18">
        <f>IF(AND(F68&lt;&gt;0,9955&lt;&gt;0),IF(100*9955/(F68-0)&lt;0.005,"*",100*9955/(F68-0)),0)</f>
        <v>0.9755022048015679</v>
      </c>
    </row>
    <row r="57" spans="1:7" ht="12.75">
      <c r="A57" s="11" t="s">
        <v>139</v>
      </c>
      <c r="B57" s="17">
        <v>1532</v>
      </c>
      <c r="C57" s="17">
        <v>44</v>
      </c>
      <c r="D57" s="17">
        <v>1419</v>
      </c>
      <c r="E57" s="17">
        <v>1463</v>
      </c>
      <c r="F57" s="17">
        <v>1736</v>
      </c>
      <c r="G57" s="18">
        <f>IF(AND(F68&lt;&gt;0,1736&lt;&gt;0),IF(100*1736/(F68-0)&lt;0.005,"*",100*1736/(F68-0)),0)</f>
        <v>0.17011268985791278</v>
      </c>
    </row>
    <row r="58" spans="1:7" ht="12.75">
      <c r="A58" s="11" t="s">
        <v>140</v>
      </c>
      <c r="B58" s="17">
        <v>3932</v>
      </c>
      <c r="C58" s="17">
        <v>113</v>
      </c>
      <c r="D58" s="17">
        <v>3642</v>
      </c>
      <c r="E58" s="17">
        <v>3755</v>
      </c>
      <c r="F58" s="17">
        <v>4455</v>
      </c>
      <c r="G58" s="18">
        <f>IF(AND(F68&lt;&gt;0,4455&lt;&gt;0),IF(100*4455/(F68-0)&lt;0.005,"*",100*4455/(F68-0)),0)</f>
        <v>0.43655071043606075</v>
      </c>
    </row>
    <row r="59" spans="1:7" ht="12.75">
      <c r="A59" s="11" t="s">
        <v>141</v>
      </c>
      <c r="B59" s="17">
        <v>3367</v>
      </c>
      <c r="C59" s="17">
        <v>96</v>
      </c>
      <c r="D59" s="17">
        <v>3119</v>
      </c>
      <c r="E59" s="17">
        <v>3215</v>
      </c>
      <c r="F59" s="17">
        <v>3815</v>
      </c>
      <c r="G59" s="18">
        <f>IF(AND(F68&lt;&gt;0,3815&lt;&gt;0),IF(100*3815/(F68-0)&lt;0.005,"*",100*3815/(F68-0)),0)</f>
        <v>0.37383635472807447</v>
      </c>
    </row>
    <row r="60" spans="1:7" ht="12.75">
      <c r="A60" s="11" t="s">
        <v>142</v>
      </c>
      <c r="B60" s="17">
        <v>8787</v>
      </c>
      <c r="C60" s="17">
        <v>252</v>
      </c>
      <c r="D60" s="17">
        <v>8139</v>
      </c>
      <c r="E60" s="17">
        <v>8391</v>
      </c>
      <c r="F60" s="17">
        <v>9955</v>
      </c>
      <c r="G60" s="18">
        <f>IF(AND(F68&lt;&gt;0,9955&lt;&gt;0),IF(100*9955/(F68-0)&lt;0.005,"*",100*9955/(F68-0)),0)</f>
        <v>0.9755022048015679</v>
      </c>
    </row>
    <row r="61" spans="1:7" ht="12.75">
      <c r="A61" s="11" t="s">
        <v>143</v>
      </c>
      <c r="B61" s="17">
        <v>0</v>
      </c>
      <c r="C61" s="17">
        <v>0</v>
      </c>
      <c r="D61" s="17">
        <v>0</v>
      </c>
      <c r="E61" s="17">
        <v>0</v>
      </c>
      <c r="F61" s="17">
        <v>0</v>
      </c>
      <c r="G61" s="18">
        <f>IF(AND(F68&lt;&gt;0,0&lt;&gt;0),IF(100*0/(F68-0)&lt;0.005,"*",100*0/(F68-0)),0)</f>
        <v>0</v>
      </c>
    </row>
    <row r="62" spans="1:7" ht="12.75">
      <c r="A62" s="11" t="s">
        <v>144</v>
      </c>
      <c r="B62" s="17">
        <v>4349</v>
      </c>
      <c r="C62" s="17">
        <v>125</v>
      </c>
      <c r="D62" s="17">
        <v>4028</v>
      </c>
      <c r="E62" s="17">
        <v>4153</v>
      </c>
      <c r="F62" s="17">
        <v>4927</v>
      </c>
      <c r="G62" s="18">
        <f>IF(AND(F68&lt;&gt;0,4927&lt;&gt;0),IF(100*4927/(F68-0)&lt;0.005,"*",100*4927/(F68-0)),0)</f>
        <v>0.48280254777070064</v>
      </c>
    </row>
    <row r="63" spans="1:7" ht="12.75">
      <c r="A63" s="11" t="s">
        <v>145</v>
      </c>
      <c r="B63" s="17">
        <v>9050</v>
      </c>
      <c r="C63" s="17">
        <v>600</v>
      </c>
      <c r="D63" s="17">
        <v>19400</v>
      </c>
      <c r="E63" s="17">
        <v>20000</v>
      </c>
      <c r="F63" s="17">
        <v>20410</v>
      </c>
      <c r="G63" s="18">
        <f>IF(AND(F68&lt;&gt;0,20410&lt;&gt;0),IF(100*20410/(F68-0)&lt;0.005,"*",100*20410/(F68-0)),0)</f>
        <v>2</v>
      </c>
    </row>
    <row r="64" spans="1:7" ht="12.75">
      <c r="A64" s="11" t="s">
        <v>146</v>
      </c>
      <c r="B64" s="17">
        <v>0</v>
      </c>
      <c r="C64" s="17">
        <v>0</v>
      </c>
      <c r="D64" s="17">
        <v>0</v>
      </c>
      <c r="E64" s="17">
        <v>0</v>
      </c>
      <c r="F64" s="17">
        <v>0</v>
      </c>
      <c r="G64" s="18">
        <v>0</v>
      </c>
    </row>
    <row r="65" spans="1:7" ht="27.75">
      <c r="A65" s="11" t="s">
        <v>449</v>
      </c>
      <c r="B65" s="17">
        <v>92</v>
      </c>
      <c r="C65" s="17">
        <v>65</v>
      </c>
      <c r="D65" s="17">
        <v>2093</v>
      </c>
      <c r="E65" s="17">
        <v>2158</v>
      </c>
      <c r="F65" s="17">
        <v>2551</v>
      </c>
      <c r="G65" s="18">
        <f>IF(AND(F68&lt;&gt;0,2551&lt;&gt;0),IF(100*2551/(F68-0)&lt;0.005,"*",100*2551/(F68-0)),0)</f>
        <v>0.24997550220480158</v>
      </c>
    </row>
    <row r="66" spans="1:7" ht="15">
      <c r="A66" s="11" t="s">
        <v>461</v>
      </c>
      <c r="B66" s="17">
        <v>4009</v>
      </c>
      <c r="C66" s="17">
        <v>60</v>
      </c>
      <c r="D66" s="17">
        <v>1940</v>
      </c>
      <c r="E66" s="17">
        <v>2000</v>
      </c>
      <c r="F66" s="17">
        <v>2000</v>
      </c>
      <c r="G66" s="18">
        <f>IF(AND(F68&lt;&gt;0,2000&lt;&gt;0),IF(100*2000/(F68-0)&lt;0.005,"*",100*2000/(F68-0)),0)</f>
        <v>0.19598236158745713</v>
      </c>
    </row>
    <row r="67" spans="1:7" ht="15">
      <c r="A67" s="11" t="s">
        <v>376</v>
      </c>
      <c r="B67" s="23" t="s">
        <v>462</v>
      </c>
      <c r="C67" s="17">
        <v>0</v>
      </c>
      <c r="D67" s="17">
        <v>0</v>
      </c>
      <c r="E67" s="17">
        <v>0</v>
      </c>
      <c r="F67" s="17">
        <v>0</v>
      </c>
      <c r="G67" s="18">
        <f>IF(AND(F68&lt;&gt;0,0&lt;&gt;0),IF(100*0/(F68-0)&lt;0.005,"*",100*0/(F68-0)),0)</f>
        <v>0</v>
      </c>
    </row>
    <row r="68" spans="1:7" ht="15" customHeight="1">
      <c r="A68" s="19" t="s">
        <v>87</v>
      </c>
      <c r="B68" s="20">
        <f>16781+8787+23270+13445+83765+15293+8903+8787+10163+32817+19157+8889+8787+36668+14253+13142+10227+13680+12047+8787+14913+16333+27349+15723+9099+17733+8787+8787+12531+8787+16718+10234+42176+20546+8787+24425+14384+12614+28094+8787+8775+8787+8787+63564+9169+8787+14557+19611+8787+15323+8787+1532+3932+3367+8787+0+4349+9050+0+92+4008.5+2546.1+0</f>
        <v>907052.6</v>
      </c>
      <c r="C68" s="20" t="s">
        <v>465</v>
      </c>
      <c r="D68" s="20" t="s">
        <v>466</v>
      </c>
      <c r="E68" s="20">
        <f>SUM(C68:D68)</f>
        <v>0</v>
      </c>
      <c r="F68" s="20">
        <f>19013+9955+17974+15233+93673+17327+10087+9955+9955+36413+21705+9955+9955+41546+16149+14890+11346+15499+13649+9955+16896+18505+30987+17814+10308+20097+9955+9955+14198+9955+18941+9955+47786+23293+9955+27674+16040+14140+31831+9955+9955+9955+9955+71984+10388+9955+16493+22220+9955+17362+9955+1736+4455+3815+9955+0+4927+20410+0+2551+2000+0+0</f>
        <v>1020500</v>
      </c>
      <c r="G68" s="22" t="s">
        <v>467</v>
      </c>
    </row>
    <row r="69" spans="1:7" ht="15" customHeight="1">
      <c r="A69" s="33" t="s">
        <v>148</v>
      </c>
      <c r="B69" s="33"/>
      <c r="C69" s="33"/>
      <c r="D69" s="33"/>
      <c r="E69" s="33"/>
      <c r="F69" s="33"/>
      <c r="G69" s="33"/>
    </row>
    <row r="70" spans="1:7" ht="29.25" customHeight="1">
      <c r="A70" s="34" t="s">
        <v>459</v>
      </c>
      <c r="B70" s="34"/>
      <c r="C70" s="34"/>
      <c r="D70" s="34"/>
      <c r="E70" s="34"/>
      <c r="F70" s="34"/>
      <c r="G70" s="34"/>
    </row>
    <row r="71" spans="1:7" ht="73.5" customHeight="1">
      <c r="A71" s="34" t="s">
        <v>460</v>
      </c>
      <c r="B71" s="34"/>
      <c r="C71" s="34"/>
      <c r="D71" s="34"/>
      <c r="E71" s="34"/>
      <c r="F71" s="34"/>
      <c r="G71" s="34"/>
    </row>
    <row r="72" spans="1:7" ht="33.75" customHeight="1">
      <c r="A72" s="34" t="s">
        <v>463</v>
      </c>
      <c r="B72" s="34"/>
      <c r="C72" s="34"/>
      <c r="D72" s="34"/>
      <c r="E72" s="34"/>
      <c r="F72" s="34"/>
      <c r="G72" s="34"/>
    </row>
    <row r="73" spans="1:7" ht="15" customHeight="1">
      <c r="A73" s="26" t="s">
        <v>464</v>
      </c>
      <c r="B73" s="26"/>
      <c r="C73" s="26"/>
      <c r="D73" s="26"/>
      <c r="E73" s="26"/>
      <c r="F73" s="26"/>
      <c r="G73" s="26"/>
    </row>
    <row r="74" spans="1:7" ht="15" customHeight="1">
      <c r="A74" s="34" t="s">
        <v>468</v>
      </c>
      <c r="B74" s="26"/>
      <c r="C74" s="26"/>
      <c r="D74" s="26"/>
      <c r="E74" s="26"/>
      <c r="F74" s="26"/>
      <c r="G74" s="26"/>
    </row>
  </sheetData>
  <sheetProtection/>
  <mergeCells count="10">
    <mergeCell ref="A71:G71"/>
    <mergeCell ref="A72:G72"/>
    <mergeCell ref="A73:G73"/>
    <mergeCell ref="A74:G74"/>
    <mergeCell ref="A4:A5"/>
    <mergeCell ref="B4:B5"/>
    <mergeCell ref="F4:F5"/>
    <mergeCell ref="G4:G5"/>
    <mergeCell ref="A69:G69"/>
    <mergeCell ref="A70:G70"/>
  </mergeCells>
  <printOptions/>
  <pageMargins left="0.7" right="0.7" top="0.75" bottom="0.75" header="0.3" footer="0.3"/>
  <pageSetup fitToHeight="1" fitToWidth="1" orientation="portrait" paperSize="9"/>
</worksheet>
</file>

<file path=xl/worksheets/sheet37.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73</v>
      </c>
      <c r="B1" s="10"/>
      <c r="C1" s="10"/>
      <c r="D1" s="10"/>
      <c r="E1" s="10"/>
      <c r="F1" s="10"/>
      <c r="G1" s="12" t="s">
        <v>380</v>
      </c>
    </row>
    <row r="2" spans="1:7" ht="12.75">
      <c r="A2" s="13" t="s">
        <v>469</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55407</v>
      </c>
      <c r="C6" s="17">
        <v>0</v>
      </c>
      <c r="D6" s="17">
        <v>83318</v>
      </c>
      <c r="E6" s="17">
        <v>83318</v>
      </c>
      <c r="F6" s="17">
        <v>101763</v>
      </c>
      <c r="G6" s="18">
        <f>IF(AND(F65&lt;&gt;0,101763&lt;&gt;0),IF(100*101763/(F65-0)&lt;0.005,"*",100*101763/(F65-0)),0)</f>
        <v>3.308808467386632</v>
      </c>
    </row>
    <row r="7" spans="1:7" ht="12.75">
      <c r="A7" s="11" t="s">
        <v>89</v>
      </c>
      <c r="B7" s="17">
        <v>31733</v>
      </c>
      <c r="C7" s="17">
        <v>0</v>
      </c>
      <c r="D7" s="17">
        <v>47718</v>
      </c>
      <c r="E7" s="17">
        <v>47718</v>
      </c>
      <c r="F7" s="17">
        <v>58281</v>
      </c>
      <c r="G7" s="18">
        <f>IF(AND(F65&lt;&gt;0,58281&lt;&gt;0),IF(100*58281/(F65-0)&lt;0.005,"*",100*58281/(F65-0)),0)</f>
        <v>1.8949978507685534</v>
      </c>
    </row>
    <row r="8" spans="1:7" ht="12.75">
      <c r="A8" s="11" t="s">
        <v>90</v>
      </c>
      <c r="B8" s="17">
        <v>19403</v>
      </c>
      <c r="C8" s="17">
        <v>0</v>
      </c>
      <c r="D8" s="17">
        <v>29177</v>
      </c>
      <c r="E8" s="17">
        <v>29177</v>
      </c>
      <c r="F8" s="17">
        <v>35637</v>
      </c>
      <c r="G8" s="18">
        <f>IF(AND(F65&lt;&gt;0,35637&lt;&gt;0),IF(100*35637/(F65-0)&lt;0.005,"*",100*35637/(F65-0)),0)</f>
        <v>1.158731634801032</v>
      </c>
    </row>
    <row r="9" spans="1:7" ht="12.75">
      <c r="A9" s="11" t="s">
        <v>91</v>
      </c>
      <c r="B9" s="17">
        <v>1711</v>
      </c>
      <c r="C9" s="17">
        <v>0</v>
      </c>
      <c r="D9" s="17">
        <v>2573</v>
      </c>
      <c r="E9" s="17">
        <v>2573</v>
      </c>
      <c r="F9" s="17">
        <v>3143</v>
      </c>
      <c r="G9" s="18">
        <f>IF(AND(F65&lt;&gt;0,3143&lt;&gt;0),IF(100*3143/(F65-0)&lt;0.005,"*",100*3143/(F65-0)),0)</f>
        <v>0.10219416696634519</v>
      </c>
    </row>
    <row r="10" spans="1:7" ht="12.75">
      <c r="A10" s="11" t="s">
        <v>92</v>
      </c>
      <c r="B10" s="17">
        <v>39869</v>
      </c>
      <c r="C10" s="17">
        <v>0</v>
      </c>
      <c r="D10" s="17">
        <v>59952</v>
      </c>
      <c r="E10" s="17">
        <v>59952</v>
      </c>
      <c r="F10" s="17">
        <v>73224</v>
      </c>
      <c r="G10" s="18">
        <f>IF(AND(F65&lt;&gt;0,73224&lt;&gt;0),IF(100*73224/(F65-0)&lt;0.005,"*",100*73224/(F65-0)),0)</f>
        <v>2.380867223017391</v>
      </c>
    </row>
    <row r="11" spans="1:7" ht="12.75">
      <c r="A11" s="11" t="s">
        <v>93</v>
      </c>
      <c r="B11" s="17">
        <v>254977</v>
      </c>
      <c r="C11" s="17">
        <v>0</v>
      </c>
      <c r="D11" s="17">
        <v>383419</v>
      </c>
      <c r="E11" s="17">
        <v>383419</v>
      </c>
      <c r="F11" s="17">
        <v>468297</v>
      </c>
      <c r="G11" s="18">
        <f>IF(AND(F65&lt;&gt;0,468297&lt;&gt;0),IF(100*468297/(F65-0)&lt;0.005,"*",100*468297/(F65-0)),0)</f>
        <v>15.22660572950638</v>
      </c>
    </row>
    <row r="12" spans="1:7" ht="12.75">
      <c r="A12" s="11" t="s">
        <v>94</v>
      </c>
      <c r="B12" s="17">
        <v>15589</v>
      </c>
      <c r="C12" s="17">
        <v>0</v>
      </c>
      <c r="D12" s="17">
        <v>23442</v>
      </c>
      <c r="E12" s="17">
        <v>23442</v>
      </c>
      <c r="F12" s="17">
        <v>28632</v>
      </c>
      <c r="G12" s="18">
        <f>IF(AND(F65&lt;&gt;0,28632&lt;&gt;0),IF(100*28632/(F65-0)&lt;0.005,"*",100*28632/(F65-0)),0)</f>
        <v>0.9309651252244338</v>
      </c>
    </row>
    <row r="13" spans="1:7" ht="12.75">
      <c r="A13" s="11" t="s">
        <v>95</v>
      </c>
      <c r="B13" s="17">
        <v>13432</v>
      </c>
      <c r="C13" s="17">
        <v>0</v>
      </c>
      <c r="D13" s="17">
        <v>20198</v>
      </c>
      <c r="E13" s="17">
        <v>20198</v>
      </c>
      <c r="F13" s="17">
        <v>24670</v>
      </c>
      <c r="G13" s="18">
        <f>IF(AND(F65&lt;&gt;0,24670&lt;&gt;0),IF(100*24670/(F65-0)&lt;0.005,"*",100*24670/(F65-0)),0)</f>
        <v>0.8021412978236512</v>
      </c>
    </row>
    <row r="14" spans="1:7" ht="12.75">
      <c r="A14" s="11" t="s">
        <v>96</v>
      </c>
      <c r="B14" s="17">
        <v>4367</v>
      </c>
      <c r="C14" s="17">
        <v>0</v>
      </c>
      <c r="D14" s="17">
        <v>6567</v>
      </c>
      <c r="E14" s="17">
        <v>6567</v>
      </c>
      <c r="F14" s="17">
        <v>8020</v>
      </c>
      <c r="G14" s="18">
        <f>IF(AND(F65&lt;&gt;0,8020&lt;&gt;0),IF(100*8020/(F65-0)&lt;0.005,"*",100*8020/(F65-0)),0)</f>
        <v>0.26076908020047357</v>
      </c>
    </row>
    <row r="15" spans="1:7" ht="12.75">
      <c r="A15" s="11" t="s">
        <v>97</v>
      </c>
      <c r="B15" s="17">
        <v>4092</v>
      </c>
      <c r="C15" s="17">
        <v>0</v>
      </c>
      <c r="D15" s="17">
        <v>6154</v>
      </c>
      <c r="E15" s="17">
        <v>6154</v>
      </c>
      <c r="F15" s="17">
        <v>7516</v>
      </c>
      <c r="G15" s="18">
        <f>IF(AND(F65&lt;&gt;0,7516&lt;&gt;0),IF(100*7516/(F65-0)&lt;0.005,"*",100*7516/(F65-0)),0)</f>
        <v>0.2443815968562044</v>
      </c>
    </row>
    <row r="16" spans="1:7" ht="12.75">
      <c r="A16" s="11" t="s">
        <v>98</v>
      </c>
      <c r="B16" s="17">
        <v>50584</v>
      </c>
      <c r="C16" s="17">
        <v>0</v>
      </c>
      <c r="D16" s="17">
        <v>76065</v>
      </c>
      <c r="E16" s="17">
        <v>76065</v>
      </c>
      <c r="F16" s="17">
        <v>92903</v>
      </c>
      <c r="G16" s="18">
        <f>IF(AND(F65&lt;&gt;0,92903&lt;&gt;0),IF(100*92903/(F65-0)&lt;0.005,"*",100*92903/(F65-0)),0)</f>
        <v>3.02072691494571</v>
      </c>
    </row>
    <row r="17" spans="1:7" ht="12.75">
      <c r="A17" s="11" t="s">
        <v>99</v>
      </c>
      <c r="B17" s="17">
        <v>64732</v>
      </c>
      <c r="C17" s="17">
        <v>0</v>
      </c>
      <c r="D17" s="17">
        <v>97341</v>
      </c>
      <c r="E17" s="17">
        <v>97341</v>
      </c>
      <c r="F17" s="17">
        <v>118889</v>
      </c>
      <c r="G17" s="18">
        <f>IF(AND(F65&lt;&gt;0,118889&lt;&gt;0),IF(100*118889/(F65-0)&lt;0.005,"*",100*118889/(F65-0)),0)</f>
        <v>3.8656577526127305</v>
      </c>
    </row>
    <row r="18" spans="1:7" ht="12.75">
      <c r="A18" s="11" t="s">
        <v>100</v>
      </c>
      <c r="B18" s="17">
        <v>544</v>
      </c>
      <c r="C18" s="17">
        <v>0</v>
      </c>
      <c r="D18" s="17">
        <v>819</v>
      </c>
      <c r="E18" s="17">
        <v>819</v>
      </c>
      <c r="F18" s="17">
        <v>1000</v>
      </c>
      <c r="G18" s="18">
        <f>IF(AND(F65&lt;&gt;0,1000&lt;&gt;0),IF(100*1000/(F65-0)&lt;0.005,"*",100*1000/(F65-0)),0)</f>
        <v>0.032514847905295956</v>
      </c>
    </row>
    <row r="19" spans="1:7" ht="12.75">
      <c r="A19" s="11" t="s">
        <v>101</v>
      </c>
      <c r="B19" s="17">
        <v>2877</v>
      </c>
      <c r="C19" s="17">
        <v>0</v>
      </c>
      <c r="D19" s="17">
        <v>4326</v>
      </c>
      <c r="E19" s="17">
        <v>4326</v>
      </c>
      <c r="F19" s="17">
        <v>5284</v>
      </c>
      <c r="G19" s="18">
        <f>IF(AND(F65&lt;&gt;0,5284&lt;&gt;0),IF(100*5284/(F65-0)&lt;0.005,"*",100*5284/(F65-0)),0)</f>
        <v>0.17180845633158381</v>
      </c>
    </row>
    <row r="20" spans="1:7" ht="12.75">
      <c r="A20" s="11" t="s">
        <v>102</v>
      </c>
      <c r="B20" s="17">
        <v>12371</v>
      </c>
      <c r="C20" s="17">
        <v>0</v>
      </c>
      <c r="D20" s="17">
        <v>18603</v>
      </c>
      <c r="E20" s="17">
        <v>18603</v>
      </c>
      <c r="F20" s="17">
        <v>22721</v>
      </c>
      <c r="G20" s="18">
        <f>IF(AND(F65&lt;&gt;0,22721&lt;&gt;0),IF(100*22721/(F65-0)&lt;0.005,"*",100*22721/(F65-0)),0)</f>
        <v>0.7387698592562294</v>
      </c>
    </row>
    <row r="21" spans="1:7" ht="12.75">
      <c r="A21" s="11" t="s">
        <v>103</v>
      </c>
      <c r="B21" s="17">
        <v>6233</v>
      </c>
      <c r="C21" s="17">
        <v>0</v>
      </c>
      <c r="D21" s="17">
        <v>9373</v>
      </c>
      <c r="E21" s="17">
        <v>9373</v>
      </c>
      <c r="F21" s="17">
        <v>11448</v>
      </c>
      <c r="G21" s="18">
        <f>IF(AND(F65&lt;&gt;0,11448&lt;&gt;0),IF(100*11448/(F65-0)&lt;0.005,"*",100*11448/(F65-0)),0)</f>
        <v>0.37222997881982806</v>
      </c>
    </row>
    <row r="22" spans="1:7" ht="12.75">
      <c r="A22" s="11" t="s">
        <v>104</v>
      </c>
      <c r="B22" s="17">
        <v>69045</v>
      </c>
      <c r="C22" s="17">
        <v>0</v>
      </c>
      <c r="D22" s="17">
        <v>103826</v>
      </c>
      <c r="E22" s="17">
        <v>103826</v>
      </c>
      <c r="F22" s="17">
        <v>126810</v>
      </c>
      <c r="G22" s="18">
        <f>IF(AND(F65&lt;&gt;0,126810&lt;&gt;0),IF(100*126810/(F65-0)&lt;0.005,"*",100*126810/(F65-0)),0)</f>
        <v>4.12320786287058</v>
      </c>
    </row>
    <row r="23" spans="1:7" ht="12.75">
      <c r="A23" s="11" t="s">
        <v>105</v>
      </c>
      <c r="B23" s="17">
        <v>37425</v>
      </c>
      <c r="C23" s="17">
        <v>0</v>
      </c>
      <c r="D23" s="17">
        <v>56278</v>
      </c>
      <c r="E23" s="17">
        <v>56278</v>
      </c>
      <c r="F23" s="17">
        <v>68736</v>
      </c>
      <c r="G23" s="18">
        <f>IF(AND(F65&lt;&gt;0,68736&lt;&gt;0),IF(100*68736/(F65-0)&lt;0.005,"*",100*68736/(F65-0)),0)</f>
        <v>2.2349405856184226</v>
      </c>
    </row>
    <row r="24" spans="1:7" ht="12.75">
      <c r="A24" s="11" t="s">
        <v>106</v>
      </c>
      <c r="B24" s="17">
        <v>15578</v>
      </c>
      <c r="C24" s="17">
        <v>0</v>
      </c>
      <c r="D24" s="17">
        <v>23425</v>
      </c>
      <c r="E24" s="17">
        <v>23425</v>
      </c>
      <c r="F24" s="17">
        <v>28610</v>
      </c>
      <c r="G24" s="18">
        <f>IF(AND(F65&lt;&gt;0,28610&lt;&gt;0),IF(100*28610/(F65-0)&lt;0.005,"*",100*28610/(F65-0)),0)</f>
        <v>0.9302497985705173</v>
      </c>
    </row>
    <row r="25" spans="1:7" ht="12.75">
      <c r="A25" s="11" t="s">
        <v>107</v>
      </c>
      <c r="B25" s="17">
        <v>23265</v>
      </c>
      <c r="C25" s="17">
        <v>0</v>
      </c>
      <c r="D25" s="17">
        <v>34985</v>
      </c>
      <c r="E25" s="17">
        <v>34985</v>
      </c>
      <c r="F25" s="17">
        <v>42730</v>
      </c>
      <c r="G25" s="18">
        <f>IF(AND(F65&lt;&gt;0,42730&lt;&gt;0),IF(100*42730/(F65-0)&lt;0.005,"*",100*42730/(F65-0)),0)</f>
        <v>1.389359450993296</v>
      </c>
    </row>
    <row r="26" spans="1:7" ht="12.75">
      <c r="A26" s="11" t="s">
        <v>108</v>
      </c>
      <c r="B26" s="17">
        <v>37511</v>
      </c>
      <c r="C26" s="17">
        <v>0</v>
      </c>
      <c r="D26" s="17">
        <v>56406</v>
      </c>
      <c r="E26" s="17">
        <v>56406</v>
      </c>
      <c r="F26" s="17">
        <v>68893</v>
      </c>
      <c r="G26" s="18">
        <f>IF(AND(F65&lt;&gt;0,68893&lt;&gt;0),IF(100*68893/(F65-0)&lt;0.005,"*",100*68893/(F65-0)),0)</f>
        <v>2.2400454167395543</v>
      </c>
    </row>
    <row r="27" spans="1:7" ht="12.75">
      <c r="A27" s="11" t="s">
        <v>109</v>
      </c>
      <c r="B27" s="17">
        <v>22250</v>
      </c>
      <c r="C27" s="17">
        <v>0</v>
      </c>
      <c r="D27" s="17">
        <v>33458</v>
      </c>
      <c r="E27" s="17">
        <v>33458</v>
      </c>
      <c r="F27" s="17">
        <v>40865</v>
      </c>
      <c r="G27" s="18">
        <f>IF(AND(F65&lt;&gt;0,40865&lt;&gt;0),IF(100*40865/(F65-0)&lt;0.005,"*",100*40865/(F65-0)),0)</f>
        <v>1.328719259649919</v>
      </c>
    </row>
    <row r="28" spans="1:7" ht="12.75">
      <c r="A28" s="11" t="s">
        <v>110</v>
      </c>
      <c r="B28" s="17">
        <v>17212</v>
      </c>
      <c r="C28" s="17">
        <v>0</v>
      </c>
      <c r="D28" s="17">
        <v>25882</v>
      </c>
      <c r="E28" s="17">
        <v>25882</v>
      </c>
      <c r="F28" s="17">
        <v>31611</v>
      </c>
      <c r="G28" s="18">
        <f>IF(AND(F65&lt;&gt;0,31611&lt;&gt;0),IF(100*31611/(F65-0)&lt;0.005,"*",100*31611/(F65-0)),0)</f>
        <v>1.0278268571343103</v>
      </c>
    </row>
    <row r="29" spans="1:7" ht="12.75">
      <c r="A29" s="11" t="s">
        <v>111</v>
      </c>
      <c r="B29" s="17">
        <v>6088</v>
      </c>
      <c r="C29" s="17">
        <v>0</v>
      </c>
      <c r="D29" s="17">
        <v>9154</v>
      </c>
      <c r="E29" s="17">
        <v>9154</v>
      </c>
      <c r="F29" s="17">
        <v>11181</v>
      </c>
      <c r="G29" s="18">
        <f>IF(AND(F65&lt;&gt;0,11181&lt;&gt;0),IF(100*11181/(F65-0)&lt;0.005,"*",100*11181/(F65-0)),0)</f>
        <v>0.36354851442911407</v>
      </c>
    </row>
    <row r="30" spans="1:7" ht="12.75">
      <c r="A30" s="11" t="s">
        <v>112</v>
      </c>
      <c r="B30" s="17">
        <v>31409</v>
      </c>
      <c r="C30" s="17">
        <v>0</v>
      </c>
      <c r="D30" s="17">
        <v>47231</v>
      </c>
      <c r="E30" s="17">
        <v>47231</v>
      </c>
      <c r="F30" s="17">
        <v>57687</v>
      </c>
      <c r="G30" s="18">
        <f>IF(AND(F65&lt;&gt;0,57687&lt;&gt;0),IF(100*57687/(F65-0)&lt;0.005,"*",100*57687/(F65-0)),0)</f>
        <v>1.8756840311128076</v>
      </c>
    </row>
    <row r="31" spans="1:7" ht="12.75">
      <c r="A31" s="11" t="s">
        <v>113</v>
      </c>
      <c r="B31" s="17">
        <v>23153</v>
      </c>
      <c r="C31" s="17">
        <v>0</v>
      </c>
      <c r="D31" s="17">
        <v>34817</v>
      </c>
      <c r="E31" s="17">
        <v>34817</v>
      </c>
      <c r="F31" s="17">
        <v>42524</v>
      </c>
      <c r="G31" s="18">
        <f>IF(AND(F65&lt;&gt;0,42524&lt;&gt;0),IF(100*42524/(F65-0)&lt;0.005,"*",100*42524/(F65-0)),0)</f>
        <v>1.3826613923248052</v>
      </c>
    </row>
    <row r="32" spans="1:7" ht="12.75">
      <c r="A32" s="11" t="s">
        <v>114</v>
      </c>
      <c r="B32" s="17">
        <v>37841</v>
      </c>
      <c r="C32" s="17">
        <v>0</v>
      </c>
      <c r="D32" s="17">
        <v>56904</v>
      </c>
      <c r="E32" s="17">
        <v>56904</v>
      </c>
      <c r="F32" s="17">
        <v>69501</v>
      </c>
      <c r="G32" s="18">
        <f>IF(AND(F65&lt;&gt;0,69501&lt;&gt;0),IF(100*69501/(F65-0)&lt;0.005,"*",100*69501/(F65-0)),0)</f>
        <v>2.259814444265974</v>
      </c>
    </row>
    <row r="33" spans="1:7" ht="12.75">
      <c r="A33" s="11" t="s">
        <v>115</v>
      </c>
      <c r="B33" s="17">
        <v>663</v>
      </c>
      <c r="C33" s="17">
        <v>0</v>
      </c>
      <c r="D33" s="17">
        <v>996</v>
      </c>
      <c r="E33" s="17">
        <v>996</v>
      </c>
      <c r="F33" s="17">
        <v>1217</v>
      </c>
      <c r="G33" s="18">
        <f>IF(AND(F65&lt;&gt;0,1217&lt;&gt;0),IF(100*1217/(F65-0)&lt;0.005,"*",100*1217/(F65-0)),0)</f>
        <v>0.03957056990074517</v>
      </c>
    </row>
    <row r="34" spans="1:7" ht="12.75">
      <c r="A34" s="11" t="s">
        <v>116</v>
      </c>
      <c r="B34" s="17">
        <v>17649</v>
      </c>
      <c r="C34" s="17">
        <v>0</v>
      </c>
      <c r="D34" s="17">
        <v>26540</v>
      </c>
      <c r="E34" s="17">
        <v>26540</v>
      </c>
      <c r="F34" s="17">
        <v>32415</v>
      </c>
      <c r="G34" s="18">
        <f>IF(AND(F65&lt;&gt;0,32415&lt;&gt;0),IF(100*32415/(F65-0)&lt;0.005,"*",100*32415/(F65-0)),0)</f>
        <v>1.0539687948501684</v>
      </c>
    </row>
    <row r="35" spans="1:7" ht="12.75">
      <c r="A35" s="11" t="s">
        <v>117</v>
      </c>
      <c r="B35" s="17">
        <v>3405</v>
      </c>
      <c r="C35" s="17">
        <v>0</v>
      </c>
      <c r="D35" s="17">
        <v>5121</v>
      </c>
      <c r="E35" s="17">
        <v>5121</v>
      </c>
      <c r="F35" s="17">
        <v>6254</v>
      </c>
      <c r="G35" s="18">
        <f>IF(AND(F65&lt;&gt;0,6254&lt;&gt;0),IF(100*6254/(F65-0)&lt;0.005,"*",100*6254/(F65-0)),0)</f>
        <v>0.2033478587997209</v>
      </c>
    </row>
    <row r="36" spans="1:7" ht="12.75">
      <c r="A36" s="11" t="s">
        <v>118</v>
      </c>
      <c r="B36" s="17">
        <v>56461</v>
      </c>
      <c r="C36" s="17">
        <v>0</v>
      </c>
      <c r="D36" s="17">
        <v>84903</v>
      </c>
      <c r="E36" s="17">
        <v>84903</v>
      </c>
      <c r="F36" s="17">
        <v>103698</v>
      </c>
      <c r="G36" s="18">
        <f>IF(AND(F65&lt;&gt;0,103698&lt;&gt;0),IF(100*103698/(F65-0)&lt;0.005,"*",100*103698/(F65-0)),0)</f>
        <v>3.37172469808338</v>
      </c>
    </row>
    <row r="37" spans="1:7" ht="12.75">
      <c r="A37" s="11" t="s">
        <v>119</v>
      </c>
      <c r="B37" s="17">
        <v>2402</v>
      </c>
      <c r="C37" s="17">
        <v>0</v>
      </c>
      <c r="D37" s="17">
        <v>3611</v>
      </c>
      <c r="E37" s="17">
        <v>3611</v>
      </c>
      <c r="F37" s="17">
        <v>4411</v>
      </c>
      <c r="G37" s="18">
        <f>IF(AND(F65&lt;&gt;0,4411&lt;&gt;0),IF(100*4411/(F65-0)&lt;0.005,"*",100*4411/(F65-0)),0)</f>
        <v>0.14342299411026044</v>
      </c>
    </row>
    <row r="38" spans="1:7" ht="12.75">
      <c r="A38" s="11" t="s">
        <v>120</v>
      </c>
      <c r="B38" s="17">
        <v>8765</v>
      </c>
      <c r="C38" s="17">
        <v>0</v>
      </c>
      <c r="D38" s="17">
        <v>13180</v>
      </c>
      <c r="E38" s="17">
        <v>13180</v>
      </c>
      <c r="F38" s="17">
        <v>16097</v>
      </c>
      <c r="G38" s="18">
        <f>IF(AND(F65&lt;&gt;0,16097&lt;&gt;0),IF(100*16097/(F65-0)&lt;0.005,"*",100*16097/(F65-0)),0)</f>
        <v>0.523391506731549</v>
      </c>
    </row>
    <row r="39" spans="1:7" ht="12.75">
      <c r="A39" s="11" t="s">
        <v>121</v>
      </c>
      <c r="B39" s="17">
        <v>2809</v>
      </c>
      <c r="C39" s="17">
        <v>0</v>
      </c>
      <c r="D39" s="17">
        <v>4225</v>
      </c>
      <c r="E39" s="17">
        <v>4225</v>
      </c>
      <c r="F39" s="17">
        <v>5160</v>
      </c>
      <c r="G39" s="18">
        <f>IF(AND(F65&lt;&gt;0,5160&lt;&gt;0),IF(100*5160/(F65-0)&lt;0.005,"*",100*5160/(F65-0)),0)</f>
        <v>0.1677766151913271</v>
      </c>
    </row>
    <row r="40" spans="1:7" ht="12.75">
      <c r="A40" s="11" t="s">
        <v>122</v>
      </c>
      <c r="B40" s="17">
        <v>53330</v>
      </c>
      <c r="C40" s="17">
        <v>0</v>
      </c>
      <c r="D40" s="17">
        <v>80195</v>
      </c>
      <c r="E40" s="17">
        <v>80195</v>
      </c>
      <c r="F40" s="17">
        <v>97948</v>
      </c>
      <c r="G40" s="18">
        <f>IF(AND(F65&lt;&gt;0,97948&lt;&gt;0),IF(100*97948/(F65-0)&lt;0.005,"*",100*97948/(F65-0)),0)</f>
        <v>3.184764322627928</v>
      </c>
    </row>
    <row r="41" spans="1:7" ht="12.75">
      <c r="A41" s="11" t="s">
        <v>123</v>
      </c>
      <c r="B41" s="17">
        <v>16041</v>
      </c>
      <c r="C41" s="17">
        <v>0</v>
      </c>
      <c r="D41" s="17">
        <v>24122</v>
      </c>
      <c r="E41" s="17">
        <v>24122</v>
      </c>
      <c r="F41" s="17">
        <v>29461</v>
      </c>
      <c r="G41" s="18">
        <f>IF(AND(F65&lt;&gt;0,29461&lt;&gt;0),IF(100*29461/(F65-0)&lt;0.005,"*",100*29461/(F65-0)),0)</f>
        <v>0.9579199341379241</v>
      </c>
    </row>
    <row r="42" spans="1:7" ht="12.75">
      <c r="A42" s="11" t="s">
        <v>124</v>
      </c>
      <c r="B42" s="17">
        <v>3519</v>
      </c>
      <c r="C42" s="17">
        <v>0</v>
      </c>
      <c r="D42" s="17">
        <v>5292</v>
      </c>
      <c r="E42" s="17">
        <v>5292</v>
      </c>
      <c r="F42" s="17">
        <v>6463</v>
      </c>
      <c r="G42" s="18">
        <f>IF(AND(F65&lt;&gt;0,6463&lt;&gt;0),IF(100*6463/(F65-0)&lt;0.005,"*",100*6463/(F65-0)),0)</f>
        <v>0.21014346201192774</v>
      </c>
    </row>
    <row r="43" spans="1:7" ht="12.75">
      <c r="A43" s="11" t="s">
        <v>125</v>
      </c>
      <c r="B43" s="17">
        <v>81646</v>
      </c>
      <c r="C43" s="17">
        <v>0</v>
      </c>
      <c r="D43" s="17">
        <v>122775</v>
      </c>
      <c r="E43" s="17">
        <v>122775</v>
      </c>
      <c r="F43" s="17">
        <v>149954</v>
      </c>
      <c r="G43" s="18">
        <f>IF(AND(F65&lt;&gt;0,149954&lt;&gt;0),IF(100*149954/(F65-0)&lt;0.005,"*",100*149954/(F65-0)),0)</f>
        <v>4.8757315027907495</v>
      </c>
    </row>
    <row r="44" spans="1:7" ht="12.75">
      <c r="A44" s="11" t="s">
        <v>126</v>
      </c>
      <c r="B44" s="17">
        <v>55007</v>
      </c>
      <c r="C44" s="17">
        <v>0</v>
      </c>
      <c r="D44" s="17">
        <v>82715</v>
      </c>
      <c r="E44" s="17">
        <v>82715</v>
      </c>
      <c r="F44" s="17">
        <v>101026</v>
      </c>
      <c r="G44" s="18">
        <f>IF(AND(F65&lt;&gt;0,101026&lt;&gt;0),IF(100*101026/(F65-0)&lt;0.005,"*",100*101026/(F65-0)),0)</f>
        <v>3.284845024480429</v>
      </c>
    </row>
    <row r="45" spans="1:7" ht="12.75">
      <c r="A45" s="11" t="s">
        <v>127</v>
      </c>
      <c r="B45" s="17">
        <v>41512</v>
      </c>
      <c r="C45" s="17">
        <v>0</v>
      </c>
      <c r="D45" s="17">
        <v>62424</v>
      </c>
      <c r="E45" s="17">
        <v>62424</v>
      </c>
      <c r="F45" s="17">
        <v>76242</v>
      </c>
      <c r="G45" s="18">
        <f>IF(AND(F65&lt;&gt;0,76242&lt;&gt;0),IF(100*76242/(F65-0)&lt;0.005,"*",100*76242/(F65-0)),0)</f>
        <v>2.478997033995574</v>
      </c>
    </row>
    <row r="46" spans="1:7" ht="12.75">
      <c r="A46" s="11" t="s">
        <v>128</v>
      </c>
      <c r="B46" s="17">
        <v>12501</v>
      </c>
      <c r="C46" s="17">
        <v>0</v>
      </c>
      <c r="D46" s="17">
        <v>18798</v>
      </c>
      <c r="E46" s="17">
        <v>18798</v>
      </c>
      <c r="F46" s="17">
        <v>22959</v>
      </c>
      <c r="G46" s="18">
        <f>IF(AND(F65&lt;&gt;0,22959&lt;&gt;0),IF(100*22959/(F65-0)&lt;0.005,"*",100*22959/(F65-0)),0)</f>
        <v>0.7465083930576898</v>
      </c>
    </row>
    <row r="47" spans="1:7" ht="12.75">
      <c r="A47" s="11" t="s">
        <v>129</v>
      </c>
      <c r="B47" s="17">
        <v>49709</v>
      </c>
      <c r="C47" s="17">
        <v>0</v>
      </c>
      <c r="D47" s="17">
        <v>74749</v>
      </c>
      <c r="E47" s="17">
        <v>74749</v>
      </c>
      <c r="F47" s="17">
        <v>91297</v>
      </c>
      <c r="G47" s="18">
        <f>IF(AND(F65&lt;&gt;0,91297&lt;&gt;0),IF(100*91297/(F65-0)&lt;0.005,"*",100*91297/(F65-0)),0)</f>
        <v>2.9685080692098045</v>
      </c>
    </row>
    <row r="48" spans="1:7" ht="12.75">
      <c r="A48" s="11" t="s">
        <v>130</v>
      </c>
      <c r="B48" s="17">
        <v>21430</v>
      </c>
      <c r="C48" s="17">
        <v>0</v>
      </c>
      <c r="D48" s="17">
        <v>32224</v>
      </c>
      <c r="E48" s="17">
        <v>32224</v>
      </c>
      <c r="F48" s="17">
        <v>39358</v>
      </c>
      <c r="G48" s="18">
        <f>IF(AND(F65&lt;&gt;0,39358&lt;&gt;0),IF(100*39358/(F65-0)&lt;0.005,"*",100*39358/(F65-0)),0)</f>
        <v>1.279719383856638</v>
      </c>
    </row>
    <row r="49" spans="1:7" ht="12.75">
      <c r="A49" s="11" t="s">
        <v>131</v>
      </c>
      <c r="B49" s="17">
        <v>4488</v>
      </c>
      <c r="C49" s="17">
        <v>0</v>
      </c>
      <c r="D49" s="17">
        <v>6748</v>
      </c>
      <c r="E49" s="17">
        <v>6748</v>
      </c>
      <c r="F49" s="17">
        <v>8242</v>
      </c>
      <c r="G49" s="18">
        <f>IF(AND(F65&lt;&gt;0,8242&lt;&gt;0),IF(100*8242/(F65-0)&lt;0.005,"*",100*8242/(F65-0)),0)</f>
        <v>0.26798737643544923</v>
      </c>
    </row>
    <row r="50" spans="1:7" ht="12.75">
      <c r="A50" s="11" t="s">
        <v>132</v>
      </c>
      <c r="B50" s="17">
        <v>26973</v>
      </c>
      <c r="C50" s="17">
        <v>0</v>
      </c>
      <c r="D50" s="17">
        <v>40561</v>
      </c>
      <c r="E50" s="17">
        <v>40561</v>
      </c>
      <c r="F50" s="17">
        <v>49540</v>
      </c>
      <c r="G50" s="18">
        <f>IF(AND(F65&lt;&gt;0,49540&lt;&gt;0),IF(100*49540/(F65-0)&lt;0.005,"*",100*49540/(F65-0)),0)</f>
        <v>1.6107855652283616</v>
      </c>
    </row>
    <row r="51" spans="1:7" ht="12.75">
      <c r="A51" s="11" t="s">
        <v>133</v>
      </c>
      <c r="B51" s="17">
        <v>3909</v>
      </c>
      <c r="C51" s="17">
        <v>0</v>
      </c>
      <c r="D51" s="17">
        <v>5877</v>
      </c>
      <c r="E51" s="17">
        <v>5877</v>
      </c>
      <c r="F51" s="17">
        <v>7179</v>
      </c>
      <c r="G51" s="18">
        <f>IF(AND(F65&lt;&gt;0,7179&lt;&gt;0),IF(100*7179/(F65-0)&lt;0.005,"*",100*7179/(F65-0)),0)</f>
        <v>0.23342409311211965</v>
      </c>
    </row>
    <row r="52" spans="1:7" ht="12.75">
      <c r="A52" s="11" t="s">
        <v>134</v>
      </c>
      <c r="B52" s="17">
        <v>29073</v>
      </c>
      <c r="C52" s="17">
        <v>0</v>
      </c>
      <c r="D52" s="17">
        <v>43718</v>
      </c>
      <c r="E52" s="17">
        <v>43718</v>
      </c>
      <c r="F52" s="17">
        <v>53395</v>
      </c>
      <c r="G52" s="18">
        <f>IF(AND(F65&lt;&gt;0,53395&lt;&gt;0),IF(100*53395/(F65-0)&lt;0.005,"*",100*53395/(F65-0)),0)</f>
        <v>1.7361303039032774</v>
      </c>
    </row>
    <row r="53" spans="1:7" ht="12.75">
      <c r="A53" s="11" t="s">
        <v>135</v>
      </c>
      <c r="B53" s="17">
        <v>156764</v>
      </c>
      <c r="C53" s="17">
        <v>0</v>
      </c>
      <c r="D53" s="17">
        <v>235732</v>
      </c>
      <c r="E53" s="17">
        <v>235732</v>
      </c>
      <c r="F53" s="17">
        <v>287916</v>
      </c>
      <c r="G53" s="18">
        <f>IF(AND(F65&lt;&gt;0,287916&lt;&gt;0),IF(100*287916/(F65-0)&lt;0.005,"*",100*287916/(F65-0)),0)</f>
        <v>9.361544949501189</v>
      </c>
    </row>
    <row r="54" spans="1:7" ht="12.75">
      <c r="A54" s="11" t="s">
        <v>136</v>
      </c>
      <c r="B54" s="17">
        <v>16956</v>
      </c>
      <c r="C54" s="17">
        <v>0</v>
      </c>
      <c r="D54" s="17">
        <v>25497</v>
      </c>
      <c r="E54" s="17">
        <v>25497</v>
      </c>
      <c r="F54" s="17">
        <v>31141</v>
      </c>
      <c r="G54" s="18">
        <f>IF(AND(F65&lt;&gt;0,31141&lt;&gt;0),IF(100*31141/(F65-0)&lt;0.005,"*",100*31141/(F65-0)),0)</f>
        <v>1.0125448786188214</v>
      </c>
    </row>
    <row r="55" spans="1:7" ht="12.75">
      <c r="A55" s="11" t="s">
        <v>137</v>
      </c>
      <c r="B55" s="17">
        <v>26234</v>
      </c>
      <c r="C55" s="17">
        <v>0</v>
      </c>
      <c r="D55" s="17">
        <v>39449</v>
      </c>
      <c r="E55" s="17">
        <v>39449</v>
      </c>
      <c r="F55" s="17">
        <v>48181</v>
      </c>
      <c r="G55" s="18">
        <f>IF(AND(F65&lt;&gt;0,48181&lt;&gt;0),IF(100*48181/(F65-0)&lt;0.005,"*",100*48181/(F65-0)),0)</f>
        <v>1.5665978869250643</v>
      </c>
    </row>
    <row r="56" spans="1:7" ht="12.75">
      <c r="A56" s="11" t="s">
        <v>138</v>
      </c>
      <c r="B56" s="17">
        <v>2523</v>
      </c>
      <c r="C56" s="17">
        <v>0</v>
      </c>
      <c r="D56" s="17">
        <v>3794</v>
      </c>
      <c r="E56" s="17">
        <v>3794</v>
      </c>
      <c r="F56" s="17">
        <v>4634</v>
      </c>
      <c r="G56" s="18">
        <f>IF(AND(F65&lt;&gt;0,4634&lt;&gt;0),IF(100*4634/(F65-0)&lt;0.005,"*",100*4634/(F65-0)),0)</f>
        <v>0.15067380519314144</v>
      </c>
    </row>
    <row r="57" spans="1:7" ht="12.75">
      <c r="A57" s="11" t="s">
        <v>139</v>
      </c>
      <c r="B57" s="17">
        <v>2905</v>
      </c>
      <c r="C57" s="17">
        <v>0</v>
      </c>
      <c r="D57" s="17">
        <v>4369</v>
      </c>
      <c r="E57" s="17">
        <v>4369</v>
      </c>
      <c r="F57" s="17">
        <v>5336</v>
      </c>
      <c r="G57" s="18">
        <f>IF(AND(F65&lt;&gt;0,5336&lt;&gt;0),IF(100*5336/(F65-0)&lt;0.005,"*",100*5336/(F65-0)),0)</f>
        <v>0.17349922842265922</v>
      </c>
    </row>
    <row r="58" spans="1:7" ht="12.75">
      <c r="A58" s="11" t="s">
        <v>140</v>
      </c>
      <c r="B58" s="17">
        <v>25645</v>
      </c>
      <c r="C58" s="17">
        <v>0</v>
      </c>
      <c r="D58" s="17">
        <v>38564</v>
      </c>
      <c r="E58" s="17">
        <v>38564</v>
      </c>
      <c r="F58" s="17">
        <v>47101</v>
      </c>
      <c r="G58" s="18">
        <f>IF(AND(F65&lt;&gt;0,47101&lt;&gt;0),IF(100*47101/(F65-0)&lt;0.005,"*",100*47101/(F65-0)),0)</f>
        <v>1.5314818511873447</v>
      </c>
    </row>
    <row r="59" spans="1:7" ht="12.75">
      <c r="A59" s="11" t="s">
        <v>141</v>
      </c>
      <c r="B59" s="17">
        <v>34318</v>
      </c>
      <c r="C59" s="17">
        <v>0</v>
      </c>
      <c r="D59" s="17">
        <v>51605</v>
      </c>
      <c r="E59" s="17">
        <v>51605</v>
      </c>
      <c r="F59" s="17">
        <v>63030</v>
      </c>
      <c r="G59" s="18">
        <f>IF(AND(F65&lt;&gt;0,63030&lt;&gt;0),IF(100*63030/(F65-0)&lt;0.005,"*",100*63030/(F65-0)),0)</f>
        <v>2.049410863470804</v>
      </c>
    </row>
    <row r="60" spans="1:7" ht="12.75">
      <c r="A60" s="11" t="s">
        <v>142</v>
      </c>
      <c r="B60" s="17">
        <v>15662</v>
      </c>
      <c r="C60" s="17">
        <v>0</v>
      </c>
      <c r="D60" s="17">
        <v>23552</v>
      </c>
      <c r="E60" s="17">
        <v>23552</v>
      </c>
      <c r="F60" s="17">
        <v>28766</v>
      </c>
      <c r="G60" s="18">
        <f>IF(AND(F65&lt;&gt;0,28766&lt;&gt;0),IF(100*28766/(F65-0)&lt;0.005,"*",100*28766/(F65-0)),0)</f>
        <v>0.9353221148437434</v>
      </c>
    </row>
    <row r="61" spans="1:7" ht="12.75">
      <c r="A61" s="11" t="s">
        <v>143</v>
      </c>
      <c r="B61" s="17">
        <v>2722</v>
      </c>
      <c r="C61" s="17">
        <v>0</v>
      </c>
      <c r="D61" s="17">
        <v>4093</v>
      </c>
      <c r="E61" s="17">
        <v>4093</v>
      </c>
      <c r="F61" s="17">
        <v>5000</v>
      </c>
      <c r="G61" s="18">
        <f>IF(AND(F65&lt;&gt;0,5000&lt;&gt;0),IF(100*5000/(F65-0)&lt;0.005,"*",100*5000/(F65-0)),0)</f>
        <v>0.16257423952647976</v>
      </c>
    </row>
    <row r="62" spans="1:7" ht="12.75">
      <c r="A62" s="11" t="s">
        <v>144</v>
      </c>
      <c r="B62" s="17">
        <v>828</v>
      </c>
      <c r="C62" s="17">
        <v>0</v>
      </c>
      <c r="D62" s="17">
        <v>1245</v>
      </c>
      <c r="E62" s="17">
        <v>1245</v>
      </c>
      <c r="F62" s="17">
        <v>1521</v>
      </c>
      <c r="G62" s="18">
        <f>IF(AND(F65&lt;&gt;0,1521&lt;&gt;0),IF(100*1521/(F65-0)&lt;0.005,"*",100*1521/(F65-0)),0)</f>
        <v>0.049455083663955145</v>
      </c>
    </row>
    <row r="63" spans="1:7" ht="12.75">
      <c r="A63" s="11" t="s">
        <v>145</v>
      </c>
      <c r="B63" s="17">
        <v>0</v>
      </c>
      <c r="C63" s="17">
        <v>0</v>
      </c>
      <c r="D63" s="17">
        <v>0</v>
      </c>
      <c r="E63" s="17">
        <v>0</v>
      </c>
      <c r="F63" s="17">
        <v>0</v>
      </c>
      <c r="G63" s="18">
        <f>IF(AND(F65&lt;&gt;0,0&lt;&gt;0),IF(100*0/(F65-0)&lt;0.005,"*",100*0/(F65-0)),0)</f>
        <v>0</v>
      </c>
    </row>
    <row r="64" spans="1:7" ht="12.75">
      <c r="A64" s="11" t="s">
        <v>146</v>
      </c>
      <c r="B64" s="17">
        <v>0</v>
      </c>
      <c r="C64" s="17">
        <v>0</v>
      </c>
      <c r="D64" s="17">
        <v>0</v>
      </c>
      <c r="E64" s="17">
        <v>0</v>
      </c>
      <c r="F64" s="17">
        <v>0</v>
      </c>
      <c r="G64" s="18">
        <v>0</v>
      </c>
    </row>
    <row r="65" spans="1:7" ht="15" customHeight="1">
      <c r="A65" s="19" t="s">
        <v>87</v>
      </c>
      <c r="B65" s="20">
        <f>55407+31733+19403+1711+39869+254977+15589+13432+4367+4092+50584+64732+544+2877+12371+6233+69045+37425+15578+23265+37511+22250+17212+6088+31409+23153+37841+663+17649+3405+56461+2402+8765+2809+53330+16041+3519+81646+55007+41512+12501+49709+21430+4488+26973+3909+29073+156764+16956+26234+2523+2905+25645+34318+15662+2722+828+0+0+0</f>
        <v>1674547</v>
      </c>
      <c r="C65" s="20">
        <f>0+0+0+0+0+0+0+0+0+0+0+0+0+0+0+0+0+0+0+0+0+0+0+0+0+0+0+0+0+0+0+0+0+0+0+0+0+0+0+0+0+0+0+0+0+0+0+0+0+0+0+0+0+0+0+0+0+0+0+0</f>
        <v>0</v>
      </c>
      <c r="D65" s="20">
        <f>83318+47718+29177+2573+59952+383419+23442+20198+6567+6154+76065+97341+819+4326+18603+9373+103826+56278+23425+34985+56406+33458+25882+9154+47231+34817+56904+996+26540+5121+84903+3611+13180+4225+80195+24122+5292+122775+82715+62424+18798+74749+32224+6748+40561+5877+43718+235732+25497+39449+3794+4369+38564+51605+23552+4093+1245+0+0+0</f>
        <v>2518085</v>
      </c>
      <c r="E65" s="20">
        <f>SUM(C65:D65)</f>
        <v>2518085</v>
      </c>
      <c r="F65" s="20">
        <f>101763+58281+35637+3143+73224+468297+28632+24670+8020+7516+92903+118889+1000+5284+22721+11448+126810+68736+28610+42730+68893+40865+31611+11181+57687+42524+69501+1217+32415+6254+103698+4411+16097+5160+97948+29461+6463+149954+101026+76242+22959+91297+39358+8242+49540+7179+53395+287916+31141+48181+4634+5336+47101+63030+28766+5000+1521+0+0+0</f>
        <v>3075518</v>
      </c>
      <c r="G65" s="21" t="s">
        <v>147</v>
      </c>
    </row>
    <row r="66" spans="1:7" ht="15" customHeight="1">
      <c r="A66" s="33" t="s">
        <v>148</v>
      </c>
      <c r="B66" s="33"/>
      <c r="C66" s="33"/>
      <c r="D66" s="33"/>
      <c r="E66" s="33"/>
      <c r="F66" s="33"/>
      <c r="G66" s="33"/>
    </row>
    <row r="67" spans="1:7" ht="15" customHeight="1">
      <c r="A67" s="26" t="s">
        <v>149</v>
      </c>
      <c r="B67" s="26"/>
      <c r="C67" s="26"/>
      <c r="D67" s="26"/>
      <c r="E67" s="26"/>
      <c r="F67" s="26"/>
      <c r="G67" s="26"/>
    </row>
  </sheetData>
  <sheetProtection/>
  <mergeCells count="6">
    <mergeCell ref="A67:G67"/>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76</v>
      </c>
      <c r="B1" s="10"/>
      <c r="C1" s="10"/>
      <c r="D1" s="10"/>
      <c r="E1" s="10"/>
      <c r="F1" s="10"/>
      <c r="G1" s="12" t="s">
        <v>151</v>
      </c>
    </row>
    <row r="2" spans="1:7" ht="12.75">
      <c r="A2" s="13" t="s">
        <v>152</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113297</v>
      </c>
      <c r="C6" s="17">
        <v>14457</v>
      </c>
      <c r="D6" s="17">
        <v>106313</v>
      </c>
      <c r="E6" s="17">
        <v>120770</v>
      </c>
      <c r="F6" s="17">
        <v>115502</v>
      </c>
      <c r="G6" s="18">
        <f>IF(AND(F65&lt;&gt;0,115502&lt;&gt;0),IF(100*115502/(F65-0)&lt;0.005,"*",100*115502/(F65-0)),0)</f>
        <v>1.6982923414811235</v>
      </c>
    </row>
    <row r="7" spans="1:7" ht="12.75">
      <c r="A7" s="11" t="s">
        <v>89</v>
      </c>
      <c r="B7" s="17">
        <v>23515</v>
      </c>
      <c r="C7" s="17">
        <v>3000</v>
      </c>
      <c r="D7" s="17">
        <v>22066</v>
      </c>
      <c r="E7" s="17">
        <v>25066</v>
      </c>
      <c r="F7" s="17">
        <v>23973</v>
      </c>
      <c r="G7" s="18">
        <f>IF(AND(F65&lt;&gt;0,23973&lt;&gt;0),IF(100*23973/(F65-0)&lt;0.005,"*",100*23973/(F65-0)),0)</f>
        <v>0.3524888080061555</v>
      </c>
    </row>
    <row r="8" spans="1:7" ht="12.75">
      <c r="A8" s="11" t="s">
        <v>90</v>
      </c>
      <c r="B8" s="17">
        <v>130901</v>
      </c>
      <c r="C8" s="17">
        <v>16703</v>
      </c>
      <c r="D8" s="17">
        <v>122832</v>
      </c>
      <c r="E8" s="17">
        <v>139535</v>
      </c>
      <c r="F8" s="17">
        <v>133449</v>
      </c>
      <c r="G8" s="18">
        <f>IF(AND(F65&lt;&gt;0,133449&lt;&gt;0),IF(100*133449/(F65-0)&lt;0.005,"*",100*133449/(F65-0)),0)</f>
        <v>1.9621774053983</v>
      </c>
    </row>
    <row r="9" spans="1:7" ht="12.75">
      <c r="A9" s="11" t="s">
        <v>91</v>
      </c>
      <c r="B9" s="17">
        <v>69202</v>
      </c>
      <c r="C9" s="17">
        <v>8830</v>
      </c>
      <c r="D9" s="17">
        <v>64936</v>
      </c>
      <c r="E9" s="17">
        <v>73766</v>
      </c>
      <c r="F9" s="17">
        <v>70549</v>
      </c>
      <c r="G9" s="18">
        <f>IF(AND(F65&lt;&gt;0,70549&lt;&gt;0),IF(100*70549/(F65-0)&lt;0.005,"*",100*70549/(F65-0)),0)</f>
        <v>1.0373225260095218</v>
      </c>
    </row>
    <row r="10" spans="1:7" ht="12.75">
      <c r="A10" s="11" t="s">
        <v>92</v>
      </c>
      <c r="B10" s="17">
        <v>1189698</v>
      </c>
      <c r="C10" s="17">
        <v>151805</v>
      </c>
      <c r="D10" s="17">
        <v>1116365</v>
      </c>
      <c r="E10" s="17">
        <v>1268170</v>
      </c>
      <c r="F10" s="17">
        <v>1212854</v>
      </c>
      <c r="G10" s="18">
        <f>IF(AND(F65&lt;&gt;0,1212854&lt;&gt;0),IF(100*1212854/(F65-0)&lt;0.005,"*",100*1212854/(F65-0)),0)</f>
        <v>17.833289982292484</v>
      </c>
    </row>
    <row r="11" spans="1:7" ht="12.75">
      <c r="A11" s="11" t="s">
        <v>93</v>
      </c>
      <c r="B11" s="17">
        <v>72448</v>
      </c>
      <c r="C11" s="17">
        <v>9244</v>
      </c>
      <c r="D11" s="17">
        <v>67982</v>
      </c>
      <c r="E11" s="17">
        <v>77226</v>
      </c>
      <c r="F11" s="17">
        <v>73858</v>
      </c>
      <c r="G11" s="18">
        <f>IF(AND(F65&lt;&gt;0,73858&lt;&gt;0),IF(100*73858/(F65-0)&lt;0.005,"*",100*73858/(F65-0)),0)</f>
        <v>1.0859766563099584</v>
      </c>
    </row>
    <row r="12" spans="1:7" ht="12.75">
      <c r="A12" s="11" t="s">
        <v>94</v>
      </c>
      <c r="B12" s="17">
        <v>45703</v>
      </c>
      <c r="C12" s="17">
        <v>5832</v>
      </c>
      <c r="D12" s="17">
        <v>42886</v>
      </c>
      <c r="E12" s="17">
        <v>48718</v>
      </c>
      <c r="F12" s="17">
        <v>46593</v>
      </c>
      <c r="G12" s="18">
        <f>IF(AND(F65&lt;&gt;0,46593&lt;&gt;0),IF(100*46593/(F65-0)&lt;0.005,"*",100*46593/(F65-0)),0)</f>
        <v>0.6850836787815794</v>
      </c>
    </row>
    <row r="13" spans="1:7" ht="12.75">
      <c r="A13" s="11" t="s">
        <v>95</v>
      </c>
      <c r="B13" s="17">
        <v>16054</v>
      </c>
      <c r="C13" s="17">
        <v>2048</v>
      </c>
      <c r="D13" s="17">
        <v>15064</v>
      </c>
      <c r="E13" s="17">
        <v>17112</v>
      </c>
      <c r="F13" s="17">
        <v>16366</v>
      </c>
      <c r="G13" s="18">
        <f>IF(AND(F65&lt;&gt;0,16366&lt;&gt;0),IF(100*16366/(F65-0)&lt;0.005,"*",100*16366/(F65-0)),0)</f>
        <v>0.24063871154335048</v>
      </c>
    </row>
    <row r="14" spans="1:7" ht="12.75">
      <c r="A14" s="11" t="s">
        <v>96</v>
      </c>
      <c r="B14" s="17">
        <v>14219</v>
      </c>
      <c r="C14" s="17">
        <v>1814</v>
      </c>
      <c r="D14" s="17">
        <v>13343</v>
      </c>
      <c r="E14" s="17">
        <v>15157</v>
      </c>
      <c r="F14" s="17">
        <v>14496</v>
      </c>
      <c r="G14" s="18">
        <f>IF(AND(F65&lt;&gt;0,14496&lt;&gt;0),IF(100*14496/(F65-0)&lt;0.005,"*",100*14496/(F65-0)),0)</f>
        <v>0.2131430259399003</v>
      </c>
    </row>
    <row r="15" spans="1:7" ht="12.75">
      <c r="A15" s="11" t="s">
        <v>97</v>
      </c>
      <c r="B15" s="17">
        <v>359815</v>
      </c>
      <c r="C15" s="17">
        <v>45912</v>
      </c>
      <c r="D15" s="17">
        <v>337636</v>
      </c>
      <c r="E15" s="17">
        <v>383548</v>
      </c>
      <c r="F15" s="17">
        <v>366818</v>
      </c>
      <c r="G15" s="18">
        <f>IF(AND(F65&lt;&gt;0,366818&lt;&gt;0),IF(100*366818/(F65-0)&lt;0.005,"*",100*366818/(F65-0)),0)</f>
        <v>5.393536043682557</v>
      </c>
    </row>
    <row r="16" spans="1:7" ht="12.75">
      <c r="A16" s="11" t="s">
        <v>98</v>
      </c>
      <c r="B16" s="17">
        <v>214344</v>
      </c>
      <c r="C16" s="17">
        <v>27350</v>
      </c>
      <c r="D16" s="17">
        <v>201132</v>
      </c>
      <c r="E16" s="17">
        <v>228482</v>
      </c>
      <c r="F16" s="17">
        <v>218516</v>
      </c>
      <c r="G16" s="18">
        <f>IF(AND(F65&lt;&gt;0,218516&lt;&gt;0),IF(100*218516/(F65-0)&lt;0.005,"*",100*218516/(F65-0)),0)</f>
        <v>3.21296643600188</v>
      </c>
    </row>
    <row r="17" spans="1:7" ht="12.75">
      <c r="A17" s="11" t="s">
        <v>99</v>
      </c>
      <c r="B17" s="17">
        <v>33673</v>
      </c>
      <c r="C17" s="17">
        <v>4297</v>
      </c>
      <c r="D17" s="17">
        <v>31597</v>
      </c>
      <c r="E17" s="17">
        <v>35894</v>
      </c>
      <c r="F17" s="17">
        <v>34328</v>
      </c>
      <c r="G17" s="18">
        <f>IF(AND(F65&lt;&gt;0,34328&lt;&gt;0),IF(100*34328/(F65-0)&lt;0.005,"*",100*34328/(F65-0)),0)</f>
        <v>0.5047443290883622</v>
      </c>
    </row>
    <row r="18" spans="1:7" ht="12.75">
      <c r="A18" s="11" t="s">
        <v>100</v>
      </c>
      <c r="B18" s="17">
        <v>30153</v>
      </c>
      <c r="C18" s="17">
        <v>3847</v>
      </c>
      <c r="D18" s="17">
        <v>28294</v>
      </c>
      <c r="E18" s="17">
        <v>32141</v>
      </c>
      <c r="F18" s="17">
        <v>30740</v>
      </c>
      <c r="G18" s="18">
        <f>IF(AND(F65&lt;&gt;0,30740&lt;&gt;0),IF(100*30740/(F65-0)&lt;0.005,"*",100*30740/(F65-0)),0)</f>
        <v>0.45198790131019145</v>
      </c>
    </row>
    <row r="19" spans="1:7" ht="12.75">
      <c r="A19" s="11" t="s">
        <v>101</v>
      </c>
      <c r="B19" s="17">
        <v>227119</v>
      </c>
      <c r="C19" s="17">
        <v>28980</v>
      </c>
      <c r="D19" s="17">
        <v>213119</v>
      </c>
      <c r="E19" s="17">
        <v>242099</v>
      </c>
      <c r="F19" s="17">
        <v>231540</v>
      </c>
      <c r="G19" s="18">
        <f>IF(AND(F65&lt;&gt;0,231540&lt;&gt;0),IF(100*231540/(F65-0)&lt;0.005,"*",100*231540/(F65-0)),0)</f>
        <v>3.4044657992635567</v>
      </c>
    </row>
    <row r="20" spans="1:7" ht="12.75">
      <c r="A20" s="11" t="s">
        <v>102</v>
      </c>
      <c r="B20" s="17">
        <v>107755</v>
      </c>
      <c r="C20" s="17">
        <v>13749</v>
      </c>
      <c r="D20" s="17">
        <v>101113</v>
      </c>
      <c r="E20" s="17">
        <v>114862</v>
      </c>
      <c r="F20" s="17">
        <v>109852</v>
      </c>
      <c r="G20" s="18">
        <f>IF(AND(F65&lt;&gt;0,109852&lt;&gt;0),IF(100*109852/(F65-0)&lt;0.005,"*",100*109852/(F65-0)),0)</f>
        <v>1.6152171416632126</v>
      </c>
    </row>
    <row r="21" spans="1:7" ht="12.75">
      <c r="A21" s="11" t="s">
        <v>103</v>
      </c>
      <c r="B21" s="17">
        <v>44519</v>
      </c>
      <c r="C21" s="17">
        <v>5681</v>
      </c>
      <c r="D21" s="17">
        <v>41775</v>
      </c>
      <c r="E21" s="17">
        <v>47456</v>
      </c>
      <c r="F21" s="17">
        <v>45386</v>
      </c>
      <c r="G21" s="18">
        <f>IF(AND(F65&lt;&gt;0,45386&lt;&gt;0),IF(100*45386/(F65-0)&lt;0.005,"*",100*45386/(F65-0)),0)</f>
        <v>0.6673364635284434</v>
      </c>
    </row>
    <row r="22" spans="1:7" ht="12.75">
      <c r="A22" s="11" t="s">
        <v>104</v>
      </c>
      <c r="B22" s="17">
        <v>48405</v>
      </c>
      <c r="C22" s="17">
        <v>6176</v>
      </c>
      <c r="D22" s="17">
        <v>45421</v>
      </c>
      <c r="E22" s="17">
        <v>51597</v>
      </c>
      <c r="F22" s="17">
        <v>49347</v>
      </c>
      <c r="G22" s="18">
        <f>IF(AND(F65&lt;&gt;0,49347&lt;&gt;0),IF(100*49347/(F65-0)&lt;0.005,"*",100*49347/(F65-0)),0)</f>
        <v>0.7255773248521151</v>
      </c>
    </row>
    <row r="23" spans="1:7" ht="12.75">
      <c r="A23" s="11" t="s">
        <v>105</v>
      </c>
      <c r="B23" s="17">
        <v>98043</v>
      </c>
      <c r="C23" s="17">
        <v>12510</v>
      </c>
      <c r="D23" s="17">
        <v>92000</v>
      </c>
      <c r="E23" s="17">
        <v>104510</v>
      </c>
      <c r="F23" s="17">
        <v>99951</v>
      </c>
      <c r="G23" s="18">
        <f>IF(AND(F65&lt;&gt;0,99951&lt;&gt;0),IF(100*99951/(F65-0)&lt;0.005,"*",100*99951/(F65-0)),0)</f>
        <v>1.4696370437168167</v>
      </c>
    </row>
    <row r="24" spans="1:7" ht="12.75">
      <c r="A24" s="11" t="s">
        <v>106</v>
      </c>
      <c r="B24" s="17">
        <v>120330</v>
      </c>
      <c r="C24" s="17">
        <v>15354</v>
      </c>
      <c r="D24" s="17">
        <v>112913</v>
      </c>
      <c r="E24" s="17">
        <v>128267</v>
      </c>
      <c r="F24" s="17">
        <v>122672</v>
      </c>
      <c r="G24" s="18">
        <f>IF(AND(F65&lt;&gt;0,122672&lt;&gt;0),IF(100*122672/(F65-0)&lt;0.005,"*",100*122672/(F65-0)),0)</f>
        <v>1.8037169755863307</v>
      </c>
    </row>
    <row r="25" spans="1:7" ht="12.75">
      <c r="A25" s="11" t="s">
        <v>107</v>
      </c>
      <c r="B25" s="17">
        <v>17949</v>
      </c>
      <c r="C25" s="17">
        <v>2290</v>
      </c>
      <c r="D25" s="17">
        <v>16843</v>
      </c>
      <c r="E25" s="17">
        <v>19133</v>
      </c>
      <c r="F25" s="17">
        <v>18298</v>
      </c>
      <c r="G25" s="18">
        <f>IF(AND(F65&lt;&gt;0,18298&lt;&gt;0),IF(100*18298/(F65-0)&lt;0.005,"*",100*18298/(F65-0)),0)</f>
        <v>0.2690460188085193</v>
      </c>
    </row>
    <row r="26" spans="1:7" ht="12.75">
      <c r="A26" s="11" t="s">
        <v>108</v>
      </c>
      <c r="B26" s="17">
        <v>114289</v>
      </c>
      <c r="C26" s="17">
        <v>14583</v>
      </c>
      <c r="D26" s="17">
        <v>107244</v>
      </c>
      <c r="E26" s="17">
        <v>121827</v>
      </c>
      <c r="F26" s="17">
        <v>116514</v>
      </c>
      <c r="G26" s="18">
        <f>IF(AND(F65&lt;&gt;0,116514&lt;&gt;0),IF(100*116514/(F65-0)&lt;0.005,"*",100*116514/(F65-0)),0)</f>
        <v>1.7131723595724024</v>
      </c>
    </row>
    <row r="27" spans="1:7" ht="12.75">
      <c r="A27" s="11" t="s">
        <v>109</v>
      </c>
      <c r="B27" s="17">
        <v>81162</v>
      </c>
      <c r="C27" s="17">
        <v>10356</v>
      </c>
      <c r="D27" s="17">
        <v>76159</v>
      </c>
      <c r="E27" s="17">
        <v>86515</v>
      </c>
      <c r="F27" s="17">
        <v>82742</v>
      </c>
      <c r="G27" s="18">
        <f>IF(AND(F65&lt;&gt;0,82742&lt;&gt;0),IF(100*82742/(F65-0)&lt;0.005,"*",100*82742/(F65-0)),0)</f>
        <v>1.2166032182891302</v>
      </c>
    </row>
    <row r="28" spans="1:7" ht="12.75">
      <c r="A28" s="11" t="s">
        <v>110</v>
      </c>
      <c r="B28" s="17">
        <v>191464</v>
      </c>
      <c r="C28" s="17">
        <v>24431</v>
      </c>
      <c r="D28" s="17">
        <v>179662</v>
      </c>
      <c r="E28" s="17">
        <v>204093</v>
      </c>
      <c r="F28" s="17">
        <v>195191</v>
      </c>
      <c r="G28" s="18">
        <f>IF(AND(F65&lt;&gt;0,195191&lt;&gt;0),IF(100*195191/(F65-0)&lt;0.005,"*",100*195191/(F65-0)),0)</f>
        <v>2.870005544718204</v>
      </c>
    </row>
    <row r="29" spans="1:7" ht="12.75">
      <c r="A29" s="11" t="s">
        <v>111</v>
      </c>
      <c r="B29" s="17">
        <v>93911</v>
      </c>
      <c r="C29" s="17">
        <v>11983</v>
      </c>
      <c r="D29" s="17">
        <v>88122</v>
      </c>
      <c r="E29" s="17">
        <v>100105</v>
      </c>
      <c r="F29" s="17">
        <v>95739</v>
      </c>
      <c r="G29" s="18">
        <f>IF(AND(F65&lt;&gt;0,95739&lt;&gt;0),IF(100*95739/(F65-0)&lt;0.005,"*",100*95739/(F65-0)),0)</f>
        <v>1.4077055850207034</v>
      </c>
    </row>
    <row r="30" spans="1:7" ht="12.75">
      <c r="A30" s="11" t="s">
        <v>112</v>
      </c>
      <c r="B30" s="17">
        <v>82965</v>
      </c>
      <c r="C30" s="17">
        <v>10586</v>
      </c>
      <c r="D30" s="17">
        <v>77851</v>
      </c>
      <c r="E30" s="17">
        <v>88437</v>
      </c>
      <c r="F30" s="17">
        <v>84580</v>
      </c>
      <c r="G30" s="18">
        <f>IF(AND(F65&lt;&gt;0,84580&lt;&gt;0),IF(100*84580/(F65-0)&lt;0.005,"*",100*84580/(F65-0)),0)</f>
        <v>1.243628389486532</v>
      </c>
    </row>
    <row r="31" spans="1:7" ht="12.75">
      <c r="A31" s="11" t="s">
        <v>113</v>
      </c>
      <c r="B31" s="17">
        <v>98385</v>
      </c>
      <c r="C31" s="17">
        <v>12554</v>
      </c>
      <c r="D31" s="17">
        <v>92321</v>
      </c>
      <c r="E31" s="17">
        <v>104875</v>
      </c>
      <c r="F31" s="17">
        <v>100300</v>
      </c>
      <c r="G31" s="18">
        <f>IF(AND(F65&lt;&gt;0,100300&lt;&gt;0),IF(100*100300/(F65-0)&lt;0.005,"*",100*100300/(F65-0)),0)</f>
        <v>1.4747685914577815</v>
      </c>
    </row>
    <row r="32" spans="1:7" ht="12.75">
      <c r="A32" s="11" t="s">
        <v>114</v>
      </c>
      <c r="B32" s="17">
        <v>15559</v>
      </c>
      <c r="C32" s="17">
        <v>1985</v>
      </c>
      <c r="D32" s="17">
        <v>14600</v>
      </c>
      <c r="E32" s="17">
        <v>16585</v>
      </c>
      <c r="F32" s="17">
        <v>15862</v>
      </c>
      <c r="G32" s="18">
        <f>IF(AND(F65&lt;&gt;0,15862&lt;&gt;0),IF(100*15862/(F65-0)&lt;0.005,"*",100*15862/(F65-0)),0)</f>
        <v>0.23322810964808904</v>
      </c>
    </row>
    <row r="33" spans="1:7" ht="12.75">
      <c r="A33" s="11" t="s">
        <v>115</v>
      </c>
      <c r="B33" s="17">
        <v>32309</v>
      </c>
      <c r="C33" s="17">
        <v>4123</v>
      </c>
      <c r="D33" s="17">
        <v>30317</v>
      </c>
      <c r="E33" s="17">
        <v>34440</v>
      </c>
      <c r="F33" s="17">
        <v>32938</v>
      </c>
      <c r="G33" s="18">
        <f>IF(AND(F65&lt;&gt;0,32938&lt;&gt;0),IF(100*32938/(F65-0)&lt;0.005,"*",100*32938/(F65-0)),0)</f>
        <v>0.48430635957563717</v>
      </c>
    </row>
    <row r="34" spans="1:7" ht="12.75">
      <c r="A34" s="11" t="s">
        <v>116</v>
      </c>
      <c r="B34" s="17">
        <v>52186</v>
      </c>
      <c r="C34" s="17">
        <v>6659</v>
      </c>
      <c r="D34" s="17">
        <v>48969</v>
      </c>
      <c r="E34" s="17">
        <v>55628</v>
      </c>
      <c r="F34" s="17">
        <v>53202</v>
      </c>
      <c r="G34" s="18">
        <f>IF(AND(F65&lt;&gt;0,53202&lt;&gt;0),IF(100*53202/(F65-0)&lt;0.005,"*",100*53202/(F65-0)),0)</f>
        <v>0.7822596072057517</v>
      </c>
    </row>
    <row r="35" spans="1:7" ht="12.75">
      <c r="A35" s="11" t="s">
        <v>117</v>
      </c>
      <c r="B35" s="17">
        <v>10316</v>
      </c>
      <c r="C35" s="17">
        <v>1316</v>
      </c>
      <c r="D35" s="17">
        <v>9680</v>
      </c>
      <c r="E35" s="17">
        <v>10996</v>
      </c>
      <c r="F35" s="17">
        <v>10517</v>
      </c>
      <c r="G35" s="18">
        <f>IF(AND(F65&lt;&gt;0,10517&lt;&gt;0),IF(100*10517/(F65-0)&lt;0.005,"*",100*10517/(F65-0)),0)</f>
        <v>0.1546375002628264</v>
      </c>
    </row>
    <row r="36" spans="1:7" ht="12.75">
      <c r="A36" s="11" t="s">
        <v>118</v>
      </c>
      <c r="B36" s="17">
        <v>148623</v>
      </c>
      <c r="C36" s="17">
        <v>18964</v>
      </c>
      <c r="D36" s="17">
        <v>139462</v>
      </c>
      <c r="E36" s="17">
        <v>158426</v>
      </c>
      <c r="F36" s="17">
        <v>151516</v>
      </c>
      <c r="G36" s="18">
        <f>IF(AND(F65&lt;&gt;0,151516&lt;&gt;0),IF(100*151516/(F65-0)&lt;0.005,"*",100*151516/(F65-0)),0)</f>
        <v>2.227826898338158</v>
      </c>
    </row>
    <row r="37" spans="1:7" ht="12.75">
      <c r="A37" s="11" t="s">
        <v>119</v>
      </c>
      <c r="B37" s="17">
        <v>38654</v>
      </c>
      <c r="C37" s="17">
        <v>4932</v>
      </c>
      <c r="D37" s="17">
        <v>36271</v>
      </c>
      <c r="E37" s="17">
        <v>41203</v>
      </c>
      <c r="F37" s="17">
        <v>39406</v>
      </c>
      <c r="G37" s="18">
        <f>IF(AND(F65&lt;&gt;0,39406&lt;&gt;0),IF(100*39406/(F65-0)&lt;0.005,"*",100*39406/(F65-0)),0)</f>
        <v>0.5794090838981589</v>
      </c>
    </row>
    <row r="38" spans="1:7" ht="12.75">
      <c r="A38" s="11" t="s">
        <v>120</v>
      </c>
      <c r="B38" s="17">
        <v>476761</v>
      </c>
      <c r="C38" s="17">
        <v>60834</v>
      </c>
      <c r="D38" s="17">
        <v>447373</v>
      </c>
      <c r="E38" s="17">
        <v>508207</v>
      </c>
      <c r="F38" s="17">
        <v>486041</v>
      </c>
      <c r="G38" s="18">
        <f>IF(AND(F65&lt;&gt;0,486041&lt;&gt;0),IF(100*486041/(F65-0)&lt;0.005,"*",100*486041/(F65-0)),0)</f>
        <v>7.1465403884419905</v>
      </c>
    </row>
    <row r="39" spans="1:7" ht="12.75">
      <c r="A39" s="11" t="s">
        <v>121</v>
      </c>
      <c r="B39" s="17">
        <v>193937</v>
      </c>
      <c r="C39" s="17">
        <v>24746</v>
      </c>
      <c r="D39" s="17">
        <v>181983</v>
      </c>
      <c r="E39" s="17">
        <v>206729</v>
      </c>
      <c r="F39" s="17">
        <v>197712</v>
      </c>
      <c r="G39" s="18">
        <f>IF(AND(F65&lt;&gt;0,197712&lt;&gt;0),IF(100*197712/(F65-0)&lt;0.005,"*",100*197712/(F65-0)),0)</f>
        <v>2.9070732577697</v>
      </c>
    </row>
    <row r="40" spans="1:7" ht="12.75">
      <c r="A40" s="11" t="s">
        <v>122</v>
      </c>
      <c r="B40" s="17">
        <v>10732</v>
      </c>
      <c r="C40" s="17">
        <v>1369</v>
      </c>
      <c r="D40" s="17">
        <v>10070</v>
      </c>
      <c r="E40" s="17">
        <v>11439</v>
      </c>
      <c r="F40" s="17">
        <v>10941</v>
      </c>
      <c r="G40" s="18">
        <f>IF(AND(F65&lt;&gt;0,10941&lt;&gt;0),IF(100*10941/(F65-0)&lt;0.005,"*",100*10941/(F65-0)),0)</f>
        <v>0.16087181614296697</v>
      </c>
    </row>
    <row r="41" spans="1:7" ht="12.75">
      <c r="A41" s="11" t="s">
        <v>123</v>
      </c>
      <c r="B41" s="17">
        <v>164339</v>
      </c>
      <c r="C41" s="17">
        <v>20970</v>
      </c>
      <c r="D41" s="17">
        <v>154209</v>
      </c>
      <c r="E41" s="17">
        <v>175179</v>
      </c>
      <c r="F41" s="17">
        <v>167538</v>
      </c>
      <c r="G41" s="18">
        <f>IF(AND(F65&lt;&gt;0,167538&lt;&gt;0),IF(100*167538/(F65-0)&lt;0.005,"*",100*167538/(F65-0)),0)</f>
        <v>2.4634075800164887</v>
      </c>
    </row>
    <row r="42" spans="1:7" ht="12.75">
      <c r="A42" s="11" t="s">
        <v>124</v>
      </c>
      <c r="B42" s="17">
        <v>64452</v>
      </c>
      <c r="C42" s="17">
        <v>8224</v>
      </c>
      <c r="D42" s="17">
        <v>60479</v>
      </c>
      <c r="E42" s="17">
        <v>68703</v>
      </c>
      <c r="F42" s="17">
        <v>65706</v>
      </c>
      <c r="G42" s="18">
        <f>IF(AND(F65&lt;&gt;0,65706&lt;&gt;0),IF(100*65706/(F65-0)&lt;0.005,"*",100*65706/(F65-0)),0)</f>
        <v>0.9661131113691425</v>
      </c>
    </row>
    <row r="43" spans="1:7" ht="12.75">
      <c r="A43" s="11" t="s">
        <v>125</v>
      </c>
      <c r="B43" s="17">
        <v>75556</v>
      </c>
      <c r="C43" s="17">
        <v>9641</v>
      </c>
      <c r="D43" s="17">
        <v>70899</v>
      </c>
      <c r="E43" s="17">
        <v>80540</v>
      </c>
      <c r="F43" s="17">
        <v>77027</v>
      </c>
      <c r="G43" s="18">
        <f>IF(AND(F65&lt;&gt;0,77027&lt;&gt;0),IF(100*77027/(F65-0)&lt;0.005,"*",100*77027/(F65-0)),0)</f>
        <v>1.1325722860839336</v>
      </c>
    </row>
    <row r="44" spans="1:7" ht="12.75">
      <c r="A44" s="11" t="s">
        <v>126</v>
      </c>
      <c r="B44" s="17">
        <v>202223</v>
      </c>
      <c r="C44" s="17">
        <v>25803</v>
      </c>
      <c r="D44" s="17">
        <v>189758</v>
      </c>
      <c r="E44" s="17">
        <v>215561</v>
      </c>
      <c r="F44" s="17">
        <v>206159</v>
      </c>
      <c r="G44" s="18">
        <f>IF(AND(F65&lt;&gt;0,206159&lt;&gt;0),IF(100*206159/(F65-0)&lt;0.005,"*",100*206159/(F65-0)),0)</f>
        <v>3.031274357391274</v>
      </c>
    </row>
    <row r="45" spans="1:7" ht="12.75">
      <c r="A45" s="11" t="s">
        <v>127</v>
      </c>
      <c r="B45" s="17">
        <v>18051</v>
      </c>
      <c r="C45" s="17">
        <v>2303</v>
      </c>
      <c r="D45" s="17">
        <v>16938</v>
      </c>
      <c r="E45" s="17">
        <v>19241</v>
      </c>
      <c r="F45" s="17">
        <v>18402</v>
      </c>
      <c r="G45" s="18">
        <f>IF(AND(F65&lt;&gt;0,18402&lt;&gt;0),IF(100*18402/(F65-0)&lt;0.005,"*",100*18402/(F65-0)),0)</f>
        <v>0.2705751906281764</v>
      </c>
    </row>
    <row r="46" spans="1:7" ht="12.75">
      <c r="A46" s="11" t="s">
        <v>128</v>
      </c>
      <c r="B46" s="17">
        <v>91093</v>
      </c>
      <c r="C46" s="17">
        <v>11623</v>
      </c>
      <c r="D46" s="17">
        <v>85478</v>
      </c>
      <c r="E46" s="17">
        <v>97101</v>
      </c>
      <c r="F46" s="17">
        <v>92866</v>
      </c>
      <c r="G46" s="18">
        <f>IF(AND(F65&lt;&gt;0,92866&lt;&gt;0),IF(100*92866/(F65-0)&lt;0.005,"*",100*92866/(F65-0)),0)</f>
        <v>1.3654622135026755</v>
      </c>
    </row>
    <row r="47" spans="1:7" ht="12.75">
      <c r="A47" s="11" t="s">
        <v>129</v>
      </c>
      <c r="B47" s="17">
        <v>17873</v>
      </c>
      <c r="C47" s="17">
        <v>2281</v>
      </c>
      <c r="D47" s="17">
        <v>16771</v>
      </c>
      <c r="E47" s="17">
        <v>19052</v>
      </c>
      <c r="F47" s="17">
        <v>18221</v>
      </c>
      <c r="G47" s="18">
        <f>IF(AND(F65&lt;&gt;0,18221&lt;&gt;0),IF(100*18221/(F65-0)&lt;0.005,"*",100*18221/(F65-0)),0)</f>
        <v>0.26791384351896547</v>
      </c>
    </row>
    <row r="48" spans="1:7" ht="12.75">
      <c r="A48" s="11" t="s">
        <v>130</v>
      </c>
      <c r="B48" s="17">
        <v>119186</v>
      </c>
      <c r="C48" s="17">
        <v>15208</v>
      </c>
      <c r="D48" s="17">
        <v>111839</v>
      </c>
      <c r="E48" s="17">
        <v>127047</v>
      </c>
      <c r="F48" s="17">
        <v>121506</v>
      </c>
      <c r="G48" s="18">
        <f>IF(AND(F65&lt;&gt;0,121506&lt;&gt;0),IF(100*121506/(F65-0)&lt;0.005,"*",100*121506/(F65-0)),0)</f>
        <v>1.7865726069159442</v>
      </c>
    </row>
    <row r="49" spans="1:7" ht="12.75">
      <c r="A49" s="11" t="s">
        <v>131</v>
      </c>
      <c r="B49" s="17">
        <v>534861</v>
      </c>
      <c r="C49" s="17">
        <v>68248</v>
      </c>
      <c r="D49" s="17">
        <v>501892</v>
      </c>
      <c r="E49" s="17">
        <v>570140</v>
      </c>
      <c r="F49" s="17">
        <v>545272</v>
      </c>
      <c r="G49" s="18">
        <f>IF(AND(F65&lt;&gt;0,545272&lt;&gt;0),IF(100*545272/(F65-0)&lt;0.005,"*",100*545272/(F65-0)),0)</f>
        <v>8.017447850462288</v>
      </c>
    </row>
    <row r="50" spans="1:7" ht="12.75">
      <c r="A50" s="11" t="s">
        <v>132</v>
      </c>
      <c r="B50" s="17">
        <v>45052</v>
      </c>
      <c r="C50" s="17">
        <v>5749</v>
      </c>
      <c r="D50" s="17">
        <v>42275</v>
      </c>
      <c r="E50" s="17">
        <v>48024</v>
      </c>
      <c r="F50" s="17">
        <v>45929</v>
      </c>
      <c r="G50" s="18">
        <f>IF(AND(F65&lt;&gt;0,45929&lt;&gt;0),IF(100*45929/(F65-0)&lt;0.005,"*",100*45929/(F65-0)),0)</f>
        <v>0.6753205048560763</v>
      </c>
    </row>
    <row r="51" spans="1:7" ht="12.75">
      <c r="A51" s="11" t="s">
        <v>133</v>
      </c>
      <c r="B51" s="17">
        <v>13616</v>
      </c>
      <c r="C51" s="17">
        <v>1737</v>
      </c>
      <c r="D51" s="17">
        <v>12777</v>
      </c>
      <c r="E51" s="17">
        <v>14514</v>
      </c>
      <c r="F51" s="17">
        <v>13881</v>
      </c>
      <c r="G51" s="18">
        <f>IF(AND(F65&lt;&gt;0,13881&lt;&gt;0),IF(100*13881/(F65-0)&lt;0.005,"*",100*13881/(F65-0)),0)</f>
        <v>0.20410032719865867</v>
      </c>
    </row>
    <row r="52" spans="1:7" ht="12.75">
      <c r="A52" s="11" t="s">
        <v>134</v>
      </c>
      <c r="B52" s="17">
        <v>99371</v>
      </c>
      <c r="C52" s="17">
        <v>12680</v>
      </c>
      <c r="D52" s="17">
        <v>93246</v>
      </c>
      <c r="E52" s="17">
        <v>105926</v>
      </c>
      <c r="F52" s="17">
        <v>101305</v>
      </c>
      <c r="G52" s="18">
        <f>IF(AND(F65&lt;&gt;0,101305&lt;&gt;0),IF(100*101305/(F65-0)&lt;0.005,"*",100*101305/(F65-0)),0)</f>
        <v>1.4895456845227373</v>
      </c>
    </row>
    <row r="53" spans="1:7" ht="12.75">
      <c r="A53" s="11" t="s">
        <v>135</v>
      </c>
      <c r="B53" s="17">
        <v>148443</v>
      </c>
      <c r="C53" s="17">
        <v>18941</v>
      </c>
      <c r="D53" s="17">
        <v>139293</v>
      </c>
      <c r="E53" s="17">
        <v>158234</v>
      </c>
      <c r="F53" s="17">
        <v>151332</v>
      </c>
      <c r="G53" s="18">
        <f>IF(AND(F65&lt;&gt;0,151332&lt;&gt;0),IF(100*151332/(F65-0)&lt;0.005,"*",100*151332/(F65-0)),0)</f>
        <v>2.2251214405033797</v>
      </c>
    </row>
    <row r="54" spans="1:7" ht="12.75">
      <c r="A54" s="11" t="s">
        <v>136</v>
      </c>
      <c r="B54" s="17">
        <v>36472</v>
      </c>
      <c r="C54" s="17">
        <v>4654</v>
      </c>
      <c r="D54" s="17">
        <v>34224</v>
      </c>
      <c r="E54" s="17">
        <v>38878</v>
      </c>
      <c r="F54" s="17">
        <v>37182</v>
      </c>
      <c r="G54" s="18">
        <f>IF(AND(F65&lt;&gt;0,37182&lt;&gt;0),IF(100*37182/(F65-0)&lt;0.005,"*",100*37182/(F65-0)),0)</f>
        <v>0.546708332677799</v>
      </c>
    </row>
    <row r="55" spans="1:7" ht="12.75">
      <c r="A55" s="11" t="s">
        <v>137</v>
      </c>
      <c r="B55" s="17">
        <v>90276</v>
      </c>
      <c r="C55" s="17">
        <v>11519</v>
      </c>
      <c r="D55" s="17">
        <v>84711</v>
      </c>
      <c r="E55" s="17">
        <v>96230</v>
      </c>
      <c r="F55" s="17">
        <v>92033</v>
      </c>
      <c r="G55" s="18">
        <f>IF(AND(F65&lt;&gt;0,92033&lt;&gt;0),IF(100*92033/(F65-0)&lt;0.005,"*",100*92033/(F65-0)),0)</f>
        <v>1.3532141353702294</v>
      </c>
    </row>
    <row r="56" spans="1:7" ht="12.75">
      <c r="A56" s="11" t="s">
        <v>138</v>
      </c>
      <c r="B56" s="17">
        <v>8425</v>
      </c>
      <c r="C56" s="17">
        <v>1075</v>
      </c>
      <c r="D56" s="17">
        <v>7906</v>
      </c>
      <c r="E56" s="17">
        <v>8981</v>
      </c>
      <c r="F56" s="17">
        <v>8589</v>
      </c>
      <c r="G56" s="18">
        <f>IF(AND(F65&lt;&gt;0,8589&lt;&gt;0),IF(100*8589/(F65-0)&lt;0.005,"*",100*8589/(F65-0)),0)</f>
        <v>0.1262890072984136</v>
      </c>
    </row>
    <row r="57" spans="1:7" ht="12.75">
      <c r="A57" s="11" t="s">
        <v>139</v>
      </c>
      <c r="B57" s="17">
        <v>7561</v>
      </c>
      <c r="C57" s="17">
        <v>965</v>
      </c>
      <c r="D57" s="17">
        <v>7095</v>
      </c>
      <c r="E57" s="17">
        <v>8060</v>
      </c>
      <c r="F57" s="17">
        <v>7708</v>
      </c>
      <c r="G57" s="18">
        <f>IF(AND(F65&lt;&gt;0,7708&lt;&gt;0),IF(100*7708/(F65-0)&lt;0.005,"*",100*7708/(F65-0)),0)</f>
        <v>0.11333515755689512</v>
      </c>
    </row>
    <row r="58" spans="1:7" ht="12.75">
      <c r="A58" s="11" t="s">
        <v>140</v>
      </c>
      <c r="B58" s="17">
        <v>9971</v>
      </c>
      <c r="C58" s="17">
        <v>1272</v>
      </c>
      <c r="D58" s="17">
        <v>9356</v>
      </c>
      <c r="E58" s="17">
        <v>10628</v>
      </c>
      <c r="F58" s="17">
        <v>10165</v>
      </c>
      <c r="G58" s="18">
        <f>IF(AND(F65&lt;&gt;0,10165&lt;&gt;0),IF(100*10165/(F65-0)&lt;0.005,"*",100*10165/(F65-0)),0)</f>
        <v>0.1494618417962946</v>
      </c>
    </row>
    <row r="59" spans="1:7" ht="12.75">
      <c r="A59" s="11" t="s">
        <v>141</v>
      </c>
      <c r="B59" s="17">
        <v>5133</v>
      </c>
      <c r="C59" s="17">
        <v>655</v>
      </c>
      <c r="D59" s="17">
        <v>4817</v>
      </c>
      <c r="E59" s="17">
        <v>5472</v>
      </c>
      <c r="F59" s="17">
        <v>5233</v>
      </c>
      <c r="G59" s="18">
        <f>IF(AND(F65&lt;&gt;0,5233&lt;&gt;0),IF(100*5233/(F65-0)&lt;0.005,"*",100*5233/(F65-0)),0)</f>
        <v>0.07694380896409343</v>
      </c>
    </row>
    <row r="60" spans="1:7" ht="12.75">
      <c r="A60" s="11" t="s">
        <v>142</v>
      </c>
      <c r="B60" s="17">
        <v>229792</v>
      </c>
      <c r="C60" s="17">
        <v>29321</v>
      </c>
      <c r="D60" s="17">
        <v>215628</v>
      </c>
      <c r="E60" s="17">
        <v>244949</v>
      </c>
      <c r="F60" s="17">
        <v>234265</v>
      </c>
      <c r="G60" s="18">
        <f>IF(AND(F65&lt;&gt;0,234265&lt;&gt;0),IF(100*234265/(F65-0)&lt;0.005,"*",100*234265/(F65-0)),0)</f>
        <v>3.444533041653611</v>
      </c>
    </row>
    <row r="61" spans="1:7" ht="12.75">
      <c r="A61" s="11" t="s">
        <v>143</v>
      </c>
      <c r="B61" s="17">
        <v>0</v>
      </c>
      <c r="C61" s="17">
        <v>0</v>
      </c>
      <c r="D61" s="17">
        <v>0</v>
      </c>
      <c r="E61" s="17">
        <v>0</v>
      </c>
      <c r="F61" s="17">
        <v>0</v>
      </c>
      <c r="G61" s="18">
        <f>IF(AND(F65&lt;&gt;0,0&lt;&gt;0),IF(100*0/(F65-0)&lt;0.005,"*",100*0/(F65-0)),0)</f>
        <v>0</v>
      </c>
    </row>
    <row r="62" spans="1:7" ht="12.75">
      <c r="A62" s="11" t="s">
        <v>144</v>
      </c>
      <c r="B62" s="17">
        <v>7315</v>
      </c>
      <c r="C62" s="17">
        <v>933</v>
      </c>
      <c r="D62" s="17">
        <v>6864</v>
      </c>
      <c r="E62" s="17">
        <v>7797</v>
      </c>
      <c r="F62" s="17">
        <v>7457</v>
      </c>
      <c r="G62" s="18">
        <f>IF(AND(F65&lt;&gt;0,7457&lt;&gt;0),IF(100*7457/(F65-0)&lt;0.005,"*",100*7457/(F65-0)),0)</f>
        <v>0.10964456018445341</v>
      </c>
    </row>
    <row r="63" spans="1:7" ht="12.75">
      <c r="A63" s="11" t="s">
        <v>145</v>
      </c>
      <c r="B63" s="17">
        <v>63761</v>
      </c>
      <c r="C63" s="17">
        <v>8136</v>
      </c>
      <c r="D63" s="17">
        <v>59831</v>
      </c>
      <c r="E63" s="17">
        <v>67967</v>
      </c>
      <c r="F63" s="17">
        <v>65002</v>
      </c>
      <c r="G63" s="18">
        <f>IF(AND(F65&lt;&gt;0,65002&lt;&gt;0),IF(100*65002/(F65-0)&lt;0.005,"*",100*65002/(F65-0)),0)</f>
        <v>0.9557617944360789</v>
      </c>
    </row>
    <row r="64" spans="1:7" ht="12.75">
      <c r="A64" s="11" t="s">
        <v>146</v>
      </c>
      <c r="B64" s="17">
        <v>4907</v>
      </c>
      <c r="C64" s="17">
        <v>0</v>
      </c>
      <c r="D64" s="17">
        <v>0</v>
      </c>
      <c r="E64" s="17">
        <v>0</v>
      </c>
      <c r="F64" s="17">
        <v>0</v>
      </c>
      <c r="G64" s="18">
        <v>0</v>
      </c>
    </row>
    <row r="65" spans="1:7" ht="15" customHeight="1">
      <c r="A65" s="19" t="s">
        <v>87</v>
      </c>
      <c r="B65" s="20">
        <f>113297+23515+130901+69202+1189698+72448+45703+16054+14219+359815+214344+33673+30153+227119+107755+44519+48405+98043+120330+17949+114289+81162+191464+93911+82965+98385+15559+32309+52186+10316+148623+38654+476761+193937+10732+164339+64452+75556+202223+18051+91093+17873+119186+534861+45052+13616+99371+148443+36472+90276+8425+7561+9971+5133+229792+0+7315+63761+4907+0</f>
        <v>6676124</v>
      </c>
      <c r="C65" s="20">
        <f>14457+3000+16703+8830+151805+9244+5832+2048+1814+45912+27350+4297+3847+28980+13749+5681+6176+12510+15354+2290+14583+10356+24431+11983+10586+12554+1985+4123+6659+1316+18964+4932+60834+24746+1369+20970+8224+9641+25803+2303+11623+2281+15208+68248+5749+1737+12680+18941+4654+11519+1075+965+1272+655+29321+0+933+8136+0+0</f>
        <v>851238</v>
      </c>
      <c r="D65" s="20">
        <f>106313+22066+122832+64936+1116365+67982+42886+15064+13343+337636+201132+31597+28294+213119+101113+41775+45421+92000+112913+16843+107244+76159+179662+88122+77851+92321+14600+30317+48969+9680+139462+36271+447373+181983+10070+154209+60479+70899+189758+16938+85478+16771+111839+501892+42275+12777+93246+139293+34224+84711+7906+7095+9356+4817+215628+0+6864+59831+0+0</f>
        <v>6260000</v>
      </c>
      <c r="E65" s="20">
        <f>SUM(C65:D65)</f>
        <v>7111238</v>
      </c>
      <c r="F65" s="20">
        <f>115502+23973+133449+70549+1212854+73858+46593+16366+14496+366818+218516+34328+30740+231540+109852+45386+49347+99951+122672+18298+116514+82742+195191+95739+84580+100300+15862+32938+53202+10517+151516+39406+486041+197712+10941+167538+65706+77027+206159+18402+92866+18221+121506+545272+45929+13881+101305+151332+37182+92033+8589+7708+10165+5233+234265+0+7457+65002+0+0</f>
        <v>6801067</v>
      </c>
      <c r="G65" s="21" t="s">
        <v>147</v>
      </c>
    </row>
    <row r="66" spans="1:7" ht="15" customHeight="1">
      <c r="A66" s="33" t="s">
        <v>148</v>
      </c>
      <c r="B66" s="33"/>
      <c r="C66" s="33"/>
      <c r="D66" s="33"/>
      <c r="E66" s="33"/>
      <c r="F66" s="33"/>
      <c r="G66" s="33"/>
    </row>
    <row r="67" spans="1:7" ht="15" customHeight="1">
      <c r="A67" s="26" t="s">
        <v>149</v>
      </c>
      <c r="B67" s="26"/>
      <c r="C67" s="26"/>
      <c r="D67" s="26"/>
      <c r="E67" s="26"/>
      <c r="F67" s="26"/>
      <c r="G67" s="26"/>
    </row>
  </sheetData>
  <sheetProtection/>
  <mergeCells count="6">
    <mergeCell ref="A67:G67"/>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76</v>
      </c>
      <c r="B1" s="10"/>
      <c r="C1" s="10"/>
      <c r="D1" s="10"/>
      <c r="E1" s="10"/>
      <c r="F1" s="10"/>
      <c r="G1" s="12" t="s">
        <v>77</v>
      </c>
    </row>
    <row r="2" spans="1:7" ht="12.75">
      <c r="A2" s="13" t="s">
        <v>153</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44588</v>
      </c>
      <c r="C6" s="17">
        <v>0</v>
      </c>
      <c r="D6" s="17">
        <v>47358</v>
      </c>
      <c r="E6" s="17">
        <v>47358</v>
      </c>
      <c r="F6" s="17">
        <v>48864</v>
      </c>
      <c r="G6" s="18">
        <f>IF(AND(F65&lt;&gt;0,48864&lt;&gt;0),IF(100*48864/(F65-0)&lt;0.005,"*",100*48864/(F65-0)),0)</f>
        <v>1.4178774898600752</v>
      </c>
    </row>
    <row r="7" spans="1:7" ht="12.75">
      <c r="A7" s="11" t="s">
        <v>89</v>
      </c>
      <c r="B7" s="17">
        <v>9318</v>
      </c>
      <c r="C7" s="17">
        <v>0</v>
      </c>
      <c r="D7" s="17">
        <v>9897</v>
      </c>
      <c r="E7" s="17">
        <v>9897</v>
      </c>
      <c r="F7" s="17">
        <v>10212</v>
      </c>
      <c r="G7" s="18">
        <f>IF(AND(F65&lt;&gt;0,10212&lt;&gt;0),IF(100*10212/(F65-0)&lt;0.005,"*",100*10212/(F65-0)),0)</f>
        <v>0.2963196816971817</v>
      </c>
    </row>
    <row r="8" spans="1:7" ht="12.75">
      <c r="A8" s="11" t="s">
        <v>90</v>
      </c>
      <c r="B8" s="17">
        <v>49377</v>
      </c>
      <c r="C8" s="17">
        <v>0</v>
      </c>
      <c r="D8" s="17">
        <v>52445</v>
      </c>
      <c r="E8" s="17">
        <v>52445</v>
      </c>
      <c r="F8" s="17">
        <v>54112</v>
      </c>
      <c r="G8" s="18">
        <f>IF(AND(F65&lt;&gt;0,54112&lt;&gt;0),IF(100*54112/(F65-0)&lt;0.005,"*",100*54112/(F65-0)),0)</f>
        <v>1.5701577179786426</v>
      </c>
    </row>
    <row r="9" spans="1:7" ht="12.75">
      <c r="A9" s="11" t="s">
        <v>91</v>
      </c>
      <c r="B9" s="17">
        <v>55542</v>
      </c>
      <c r="C9" s="17">
        <v>0</v>
      </c>
      <c r="D9" s="17">
        <v>58993</v>
      </c>
      <c r="E9" s="17">
        <v>58993</v>
      </c>
      <c r="F9" s="17">
        <v>60868</v>
      </c>
      <c r="G9" s="18">
        <f>IF(AND(F65&lt;&gt;0,60868&lt;&gt;0),IF(100*60868/(F65-0)&lt;0.005,"*",100*60868/(F65-0)),0)</f>
        <v>1.7661952982318896</v>
      </c>
    </row>
    <row r="10" spans="1:7" ht="12.75">
      <c r="A10" s="11" t="s">
        <v>92</v>
      </c>
      <c r="B10" s="17">
        <v>396495</v>
      </c>
      <c r="C10" s="17">
        <v>0</v>
      </c>
      <c r="D10" s="17">
        <v>421129</v>
      </c>
      <c r="E10" s="17">
        <v>421129</v>
      </c>
      <c r="F10" s="17">
        <v>434519</v>
      </c>
      <c r="G10" s="18">
        <f>IF(AND(F65&lt;&gt;0,434519&lt;&gt;0),IF(100*434519/(F65-0)&lt;0.005,"*",100*434519/(F65-0)),0)</f>
        <v>12.608356029316266</v>
      </c>
    </row>
    <row r="11" spans="1:7" ht="12.75">
      <c r="A11" s="11" t="s">
        <v>93</v>
      </c>
      <c r="B11" s="17">
        <v>24837</v>
      </c>
      <c r="C11" s="17">
        <v>0</v>
      </c>
      <c r="D11" s="17">
        <v>26380</v>
      </c>
      <c r="E11" s="17">
        <v>26380</v>
      </c>
      <c r="F11" s="17">
        <v>27219</v>
      </c>
      <c r="G11" s="18">
        <f>IF(AND(F65&lt;&gt;0,27219&lt;&gt;0),IF(100*27219/(F65-0)&lt;0.005,"*",100*27219/(F65-0)),0)</f>
        <v>0.789808599306266</v>
      </c>
    </row>
    <row r="12" spans="1:7" ht="12.75">
      <c r="A12" s="11" t="s">
        <v>94</v>
      </c>
      <c r="B12" s="17">
        <v>16563</v>
      </c>
      <c r="C12" s="17">
        <v>0</v>
      </c>
      <c r="D12" s="17">
        <v>17592</v>
      </c>
      <c r="E12" s="17">
        <v>17592</v>
      </c>
      <c r="F12" s="17">
        <v>18151</v>
      </c>
      <c r="G12" s="18">
        <f>IF(AND(F65&lt;&gt;0,18151&lt;&gt;0),IF(100*18151/(F65-0)&lt;0.005,"*",100*18151/(F65-0)),0)</f>
        <v>0.5266841502629793</v>
      </c>
    </row>
    <row r="13" spans="1:7" ht="12.75">
      <c r="A13" s="11" t="s">
        <v>95</v>
      </c>
      <c r="B13" s="17">
        <v>14868</v>
      </c>
      <c r="C13" s="17">
        <v>0</v>
      </c>
      <c r="D13" s="17">
        <v>15792</v>
      </c>
      <c r="E13" s="17">
        <v>15792</v>
      </c>
      <c r="F13" s="17">
        <v>16294</v>
      </c>
      <c r="G13" s="18">
        <f>IF(AND(F65&lt;&gt;0,16294&lt;&gt;0),IF(100*16294/(F65-0)&lt;0.005,"*",100*16294/(F65-0)),0)</f>
        <v>0.47279993082392074</v>
      </c>
    </row>
    <row r="14" spans="1:7" ht="12.75">
      <c r="A14" s="11" t="s">
        <v>96</v>
      </c>
      <c r="B14" s="17">
        <v>8273</v>
      </c>
      <c r="C14" s="17">
        <v>0</v>
      </c>
      <c r="D14" s="17">
        <v>8787</v>
      </c>
      <c r="E14" s="17">
        <v>8787</v>
      </c>
      <c r="F14" s="17">
        <v>9066</v>
      </c>
      <c r="G14" s="18">
        <f>IF(AND(F65&lt;&gt;0,9066&lt;&gt;0),IF(100*9066/(F65-0)&lt;0.005,"*",100*9066/(F65-0)),0)</f>
        <v>0.2630664154197659</v>
      </c>
    </row>
    <row r="15" spans="1:7" ht="12.75">
      <c r="A15" s="11" t="s">
        <v>97</v>
      </c>
      <c r="B15" s="17">
        <v>226947</v>
      </c>
      <c r="C15" s="17">
        <v>0</v>
      </c>
      <c r="D15" s="17">
        <v>241047</v>
      </c>
      <c r="E15" s="17">
        <v>241047</v>
      </c>
      <c r="F15" s="17">
        <v>248711</v>
      </c>
      <c r="G15" s="18">
        <f>IF(AND(F65&lt;&gt;0,248711&lt;&gt;0),IF(100*248711/(F65-0)&lt;0.005,"*",100*248711/(F65-0)),0)</f>
        <v>7.216800269740282</v>
      </c>
    </row>
    <row r="16" spans="1:7" ht="12.75">
      <c r="A16" s="11" t="s">
        <v>98</v>
      </c>
      <c r="B16" s="17">
        <v>111411</v>
      </c>
      <c r="C16" s="17">
        <v>0</v>
      </c>
      <c r="D16" s="17">
        <v>118333</v>
      </c>
      <c r="E16" s="17">
        <v>118333</v>
      </c>
      <c r="F16" s="17">
        <v>122095</v>
      </c>
      <c r="G16" s="18">
        <f>IF(AND(F65&lt;&gt;0,122095&lt;&gt;0),IF(100*122095/(F65-0)&lt;0.005,"*",100*122095/(F65-0)),0)</f>
        <v>3.5428076318857618</v>
      </c>
    </row>
    <row r="17" spans="1:7" ht="12.75">
      <c r="A17" s="11" t="s">
        <v>99</v>
      </c>
      <c r="B17" s="17">
        <v>7121</v>
      </c>
      <c r="C17" s="17">
        <v>0</v>
      </c>
      <c r="D17" s="17">
        <v>7563</v>
      </c>
      <c r="E17" s="17">
        <v>7563</v>
      </c>
      <c r="F17" s="17">
        <v>7804</v>
      </c>
      <c r="G17" s="18">
        <f>IF(AND(F65&lt;&gt;0,7804&lt;&gt;0),IF(100*7804/(F65-0)&lt;0.005,"*",100*7804/(F65-0)),0)</f>
        <v>0.22644719897814397</v>
      </c>
    </row>
    <row r="18" spans="1:7" ht="12.75">
      <c r="A18" s="11" t="s">
        <v>100</v>
      </c>
      <c r="B18" s="17">
        <v>7343</v>
      </c>
      <c r="C18" s="17">
        <v>0</v>
      </c>
      <c r="D18" s="17">
        <v>7799</v>
      </c>
      <c r="E18" s="17">
        <v>7799</v>
      </c>
      <c r="F18" s="17">
        <v>8047</v>
      </c>
      <c r="G18" s="18">
        <f>IF(AND(F65&lt;&gt;0,8047&lt;&gt;0),IF(100*8047/(F65-0)&lt;0.005,"*",100*8047/(F65-0)),0)</f>
        <v>0.23349828423592062</v>
      </c>
    </row>
    <row r="19" spans="1:7" ht="12.75">
      <c r="A19" s="11" t="s">
        <v>101</v>
      </c>
      <c r="B19" s="17">
        <v>145085</v>
      </c>
      <c r="C19" s="17">
        <v>0</v>
      </c>
      <c r="D19" s="17">
        <v>154099</v>
      </c>
      <c r="E19" s="17">
        <v>154099</v>
      </c>
      <c r="F19" s="17">
        <v>158999</v>
      </c>
      <c r="G19" s="18">
        <f>IF(AND(F65&lt;&gt;0,158999&lt;&gt;0),IF(100*158999/(F65-0)&lt;0.005,"*",100*158999/(F65-0)),0)</f>
        <v>4.61364405309148</v>
      </c>
    </row>
    <row r="20" spans="1:7" ht="12.75">
      <c r="A20" s="11" t="s">
        <v>102</v>
      </c>
      <c r="B20" s="17">
        <v>53277</v>
      </c>
      <c r="C20" s="17">
        <v>0</v>
      </c>
      <c r="D20" s="17">
        <v>56587</v>
      </c>
      <c r="E20" s="17">
        <v>56587</v>
      </c>
      <c r="F20" s="17">
        <v>58386</v>
      </c>
      <c r="G20" s="18">
        <f>IF(AND(F65&lt;&gt;0,58386&lt;&gt;0),IF(100*58386/(F65-0)&lt;0.005,"*",100*58386/(F65-0)),0)</f>
        <v>1.6941755714425824</v>
      </c>
    </row>
    <row r="21" spans="1:7" ht="12.75">
      <c r="A21" s="11" t="s">
        <v>103</v>
      </c>
      <c r="B21" s="17">
        <v>27719</v>
      </c>
      <c r="C21" s="17">
        <v>0</v>
      </c>
      <c r="D21" s="17">
        <v>29441</v>
      </c>
      <c r="E21" s="17">
        <v>29441</v>
      </c>
      <c r="F21" s="17">
        <v>30377</v>
      </c>
      <c r="G21" s="18">
        <f>IF(AND(F65&lt;&gt;0,30377&lt;&gt;0),IF(100*30377/(F65-0)&lt;0.005,"*",100*30377/(F65-0)),0)</f>
        <v>0.8814436908456021</v>
      </c>
    </row>
    <row r="22" spans="1:7" ht="12.75">
      <c r="A22" s="11" t="s">
        <v>104</v>
      </c>
      <c r="B22" s="17">
        <v>33133</v>
      </c>
      <c r="C22" s="17">
        <v>0</v>
      </c>
      <c r="D22" s="17">
        <v>35192</v>
      </c>
      <c r="E22" s="17">
        <v>35192</v>
      </c>
      <c r="F22" s="17">
        <v>36310</v>
      </c>
      <c r="G22" s="18">
        <f>IF(AND(F65&lt;&gt;0,36310&lt;&gt;0),IF(100*36310/(F65-0)&lt;0.005,"*",100*36310/(F65-0)),0)</f>
        <v>1.0536004350200419</v>
      </c>
    </row>
    <row r="23" spans="1:7" ht="12.75">
      <c r="A23" s="11" t="s">
        <v>105</v>
      </c>
      <c r="B23" s="17">
        <v>34164</v>
      </c>
      <c r="C23" s="17">
        <v>0</v>
      </c>
      <c r="D23" s="17">
        <v>36287</v>
      </c>
      <c r="E23" s="17">
        <v>36287</v>
      </c>
      <c r="F23" s="17">
        <v>37440</v>
      </c>
      <c r="G23" s="18">
        <f>IF(AND(F65&lt;&gt;0,37440&lt;&gt;0),IF(100*37440/(F65-0)&lt;0.005,"*",100*37440/(F65-0)),0)</f>
        <v>1.0863894323092913</v>
      </c>
    </row>
    <row r="24" spans="1:7" ht="12.75">
      <c r="A24" s="11" t="s">
        <v>106</v>
      </c>
      <c r="B24" s="17">
        <v>93848</v>
      </c>
      <c r="C24" s="17">
        <v>0</v>
      </c>
      <c r="D24" s="17">
        <v>99679</v>
      </c>
      <c r="E24" s="17">
        <v>99679</v>
      </c>
      <c r="F24" s="17">
        <v>102848</v>
      </c>
      <c r="G24" s="18">
        <f>IF(AND(F65&lt;&gt;0,102848&lt;&gt;0),IF(100*102848/(F65-0)&lt;0.005,"*",100*102848/(F65-0)),0)</f>
        <v>2.984321055933387</v>
      </c>
    </row>
    <row r="25" spans="1:7" ht="12.75">
      <c r="A25" s="11" t="s">
        <v>107</v>
      </c>
      <c r="B25" s="17">
        <v>9685</v>
      </c>
      <c r="C25" s="17">
        <v>0</v>
      </c>
      <c r="D25" s="17">
        <v>10287</v>
      </c>
      <c r="E25" s="17">
        <v>10287</v>
      </c>
      <c r="F25" s="17">
        <v>10614</v>
      </c>
      <c r="G25" s="18">
        <f>IF(AND(F65&lt;&gt;0,10614&lt;&gt;0),IF(100*10614/(F65-0)&lt;0.005,"*",100*10614/(F65-0)),0)</f>
        <v>0.3079844400248616</v>
      </c>
    </row>
    <row r="26" spans="1:7" ht="12.75">
      <c r="A26" s="11" t="s">
        <v>108</v>
      </c>
      <c r="B26" s="17">
        <v>48152</v>
      </c>
      <c r="C26" s="17">
        <v>0</v>
      </c>
      <c r="D26" s="17">
        <v>51144</v>
      </c>
      <c r="E26" s="17">
        <v>51144</v>
      </c>
      <c r="F26" s="17">
        <v>52770</v>
      </c>
      <c r="G26" s="18">
        <f>IF(AND(F65&lt;&gt;0,52770&lt;&gt;0),IF(100*52770/(F65-0)&lt;0.005,"*",100*52770/(F65-0)),0)</f>
        <v>1.5312171565961887</v>
      </c>
    </row>
    <row r="27" spans="1:7" ht="12.75">
      <c r="A27" s="11" t="s">
        <v>109</v>
      </c>
      <c r="B27" s="17">
        <v>62727</v>
      </c>
      <c r="C27" s="17">
        <v>0</v>
      </c>
      <c r="D27" s="17">
        <v>66624</v>
      </c>
      <c r="E27" s="17">
        <v>66624</v>
      </c>
      <c r="F27" s="17">
        <v>68743</v>
      </c>
      <c r="G27" s="18">
        <f>IF(AND(F65&lt;&gt;0,68743&lt;&gt;0),IF(100*68743/(F65-0)&lt;0.005,"*",100*68743/(F65-0)),0)</f>
        <v>1.9947026908450218</v>
      </c>
    </row>
    <row r="28" spans="1:7" ht="12.75">
      <c r="A28" s="11" t="s">
        <v>110</v>
      </c>
      <c r="B28" s="17">
        <v>65531</v>
      </c>
      <c r="C28" s="17">
        <v>0</v>
      </c>
      <c r="D28" s="17">
        <v>69602</v>
      </c>
      <c r="E28" s="17">
        <v>69602</v>
      </c>
      <c r="F28" s="17">
        <v>71815</v>
      </c>
      <c r="G28" s="18">
        <f>IF(AND(F65&lt;&gt;0,71815&lt;&gt;0),IF(100*71815/(F65-0)&lt;0.005,"*",100*71815/(F65-0)),0)</f>
        <v>2.0838423365729635</v>
      </c>
    </row>
    <row r="29" spans="1:7" ht="12.75">
      <c r="A29" s="11" t="s">
        <v>111</v>
      </c>
      <c r="B29" s="17">
        <v>62851</v>
      </c>
      <c r="C29" s="17">
        <v>0</v>
      </c>
      <c r="D29" s="17">
        <v>66756</v>
      </c>
      <c r="E29" s="17">
        <v>66756</v>
      </c>
      <c r="F29" s="17">
        <v>68878</v>
      </c>
      <c r="G29" s="18">
        <f>IF(AND(F65&lt;&gt;0,68878&lt;&gt;0),IF(100*68878/(F65-0)&lt;0.005,"*",100*68878/(F65-0)),0)</f>
        <v>1.9986199604326755</v>
      </c>
    </row>
    <row r="30" spans="1:7" ht="12.75">
      <c r="A30" s="11" t="s">
        <v>112</v>
      </c>
      <c r="B30" s="17">
        <v>41444</v>
      </c>
      <c r="C30" s="17">
        <v>0</v>
      </c>
      <c r="D30" s="17">
        <v>44019</v>
      </c>
      <c r="E30" s="17">
        <v>44019</v>
      </c>
      <c r="F30" s="17">
        <v>45418</v>
      </c>
      <c r="G30" s="18">
        <f>IF(AND(F65&lt;&gt;0,45418&lt;&gt;0),IF(100*45418/(F65-0)&lt;0.005,"*",100*45418/(F65-0)),0)</f>
        <v>1.3178855565337446</v>
      </c>
    </row>
    <row r="31" spans="1:7" ht="12.75">
      <c r="A31" s="11" t="s">
        <v>113</v>
      </c>
      <c r="B31" s="17">
        <v>48387</v>
      </c>
      <c r="C31" s="17">
        <v>0</v>
      </c>
      <c r="D31" s="17">
        <v>51393</v>
      </c>
      <c r="E31" s="17">
        <v>51393</v>
      </c>
      <c r="F31" s="17">
        <v>53027</v>
      </c>
      <c r="G31" s="18">
        <f>IF(AND(F65&lt;&gt;0,53027&lt;&gt;0),IF(100*53027/(F65-0)&lt;0.005,"*",100*53027/(F65-0)),0)</f>
        <v>1.538674477218611</v>
      </c>
    </row>
    <row r="32" spans="1:7" ht="12.75">
      <c r="A32" s="11" t="s">
        <v>114</v>
      </c>
      <c r="B32" s="17">
        <v>10657</v>
      </c>
      <c r="C32" s="17">
        <v>0</v>
      </c>
      <c r="D32" s="17">
        <v>11319</v>
      </c>
      <c r="E32" s="17">
        <v>11319</v>
      </c>
      <c r="F32" s="17">
        <v>11679</v>
      </c>
      <c r="G32" s="18">
        <f>IF(AND(F65&lt;&gt;0,11679&lt;&gt;0),IF(100*11679/(F65-0)&lt;0.005,"*",100*11679/(F65-0)),0)</f>
        <v>0.3388873445496852</v>
      </c>
    </row>
    <row r="33" spans="1:7" ht="12.75">
      <c r="A33" s="11" t="s">
        <v>115</v>
      </c>
      <c r="B33" s="17">
        <v>32583</v>
      </c>
      <c r="C33" s="17">
        <v>0</v>
      </c>
      <c r="D33" s="17">
        <v>34607</v>
      </c>
      <c r="E33" s="17">
        <v>34607</v>
      </c>
      <c r="F33" s="17">
        <v>35708</v>
      </c>
      <c r="G33" s="18">
        <f>IF(AND(F65&lt;&gt;0,35708&lt;&gt;0),IF(100*35708/(F65-0)&lt;0.005,"*",100*35708/(F65-0)),0)</f>
        <v>1.0361323143402825</v>
      </c>
    </row>
    <row r="34" spans="1:7" ht="12.75">
      <c r="A34" s="11" t="s">
        <v>116</v>
      </c>
      <c r="B34" s="17">
        <v>8955</v>
      </c>
      <c r="C34" s="17">
        <v>0</v>
      </c>
      <c r="D34" s="17">
        <v>9511</v>
      </c>
      <c r="E34" s="17">
        <v>9511</v>
      </c>
      <c r="F34" s="17">
        <v>9814</v>
      </c>
      <c r="G34" s="18">
        <f>IF(AND(F65&lt;&gt;0,9814&lt;&gt;0),IF(100*9814/(F65-0)&lt;0.005,"*",100*9814/(F65-0)),0)</f>
        <v>0.28477099061654343</v>
      </c>
    </row>
    <row r="35" spans="1:7" ht="12.75">
      <c r="A35" s="11" t="s">
        <v>117</v>
      </c>
      <c r="B35" s="17">
        <v>4544</v>
      </c>
      <c r="C35" s="17">
        <v>0</v>
      </c>
      <c r="D35" s="17">
        <v>4826</v>
      </c>
      <c r="E35" s="17">
        <v>4826</v>
      </c>
      <c r="F35" s="17">
        <v>4980</v>
      </c>
      <c r="G35" s="18">
        <f>IF(AND(F65&lt;&gt;0,4980&lt;&gt;0),IF(100*4980/(F65-0)&lt;0.005,"*",100*4980/(F65-0)),0)</f>
        <v>0.14450372256678073</v>
      </c>
    </row>
    <row r="36" spans="1:7" ht="12.75">
      <c r="A36" s="11" t="s">
        <v>118</v>
      </c>
      <c r="B36" s="17">
        <v>71774</v>
      </c>
      <c r="C36" s="17">
        <v>0</v>
      </c>
      <c r="D36" s="17">
        <v>76233</v>
      </c>
      <c r="E36" s="17">
        <v>76233</v>
      </c>
      <c r="F36" s="17">
        <v>78657</v>
      </c>
      <c r="G36" s="18">
        <f>IF(AND(F65&lt;&gt;0,78657&lt;&gt;0),IF(100*78657/(F65-0)&lt;0.005,"*",100*78657/(F65-0)),0)</f>
        <v>2.282375362637605</v>
      </c>
    </row>
    <row r="37" spans="1:7" ht="12.75">
      <c r="A37" s="11" t="s">
        <v>119</v>
      </c>
      <c r="B37" s="17">
        <v>32167</v>
      </c>
      <c r="C37" s="17">
        <v>0</v>
      </c>
      <c r="D37" s="17">
        <v>34166</v>
      </c>
      <c r="E37" s="17">
        <v>34166</v>
      </c>
      <c r="F37" s="17">
        <v>35252</v>
      </c>
      <c r="G37" s="18">
        <f>IF(AND(F65&lt;&gt;0,35252&lt;&gt;0),IF(100*35252/(F65-0)&lt;0.005,"*",100*35252/(F65-0)),0)</f>
        <v>1.0229006481775411</v>
      </c>
    </row>
    <row r="38" spans="1:7" ht="12.75">
      <c r="A38" s="11" t="s">
        <v>120</v>
      </c>
      <c r="B38" s="17">
        <v>239402</v>
      </c>
      <c r="C38" s="17">
        <v>0</v>
      </c>
      <c r="D38" s="17">
        <v>254276</v>
      </c>
      <c r="E38" s="17">
        <v>254276</v>
      </c>
      <c r="F38" s="17">
        <v>262361</v>
      </c>
      <c r="G38" s="18">
        <f>IF(AND(F65&lt;&gt;0,262361&lt;&gt;0),IF(100*262361/(F65-0)&lt;0.005,"*",100*262361/(F65-0)),0)</f>
        <v>7.612879750269712</v>
      </c>
    </row>
    <row r="39" spans="1:7" ht="12.75">
      <c r="A39" s="11" t="s">
        <v>121</v>
      </c>
      <c r="B39" s="17">
        <v>91080</v>
      </c>
      <c r="C39" s="17">
        <v>0</v>
      </c>
      <c r="D39" s="17">
        <v>96739</v>
      </c>
      <c r="E39" s="17">
        <v>96739</v>
      </c>
      <c r="F39" s="17">
        <v>99815</v>
      </c>
      <c r="G39" s="18">
        <f>IF(AND(F65&lt;&gt;0,99815&lt;&gt;0),IF(100*99815/(F65-0)&lt;0.005,"*",100*99815/(F65-0)),0)</f>
        <v>2.8963130658641005</v>
      </c>
    </row>
    <row r="40" spans="1:7" ht="12.75">
      <c r="A40" s="11" t="s">
        <v>122</v>
      </c>
      <c r="B40" s="17">
        <v>10577</v>
      </c>
      <c r="C40" s="17">
        <v>0</v>
      </c>
      <c r="D40" s="17">
        <v>11234</v>
      </c>
      <c r="E40" s="17">
        <v>11234</v>
      </c>
      <c r="F40" s="17">
        <v>11591</v>
      </c>
      <c r="G40" s="18">
        <f>IF(AND(F65&lt;&gt;0,11591&lt;&gt;0),IF(100*11591/(F65-0)&lt;0.005,"*",100*11591/(F65-0)),0)</f>
        <v>0.3363338651147702</v>
      </c>
    </row>
    <row r="41" spans="1:7" ht="12.75">
      <c r="A41" s="11" t="s">
        <v>123</v>
      </c>
      <c r="B41" s="17">
        <v>84656</v>
      </c>
      <c r="C41" s="17">
        <v>0</v>
      </c>
      <c r="D41" s="17">
        <v>89916</v>
      </c>
      <c r="E41" s="17">
        <v>89916</v>
      </c>
      <c r="F41" s="17">
        <v>92774</v>
      </c>
      <c r="G41" s="18">
        <f>IF(AND(F65&lt;&gt;0,92774&lt;&gt;0),IF(100*92774/(F65-0)&lt;0.005,"*",100*92774/(F65-0)),0)</f>
        <v>2.69200569425914</v>
      </c>
    </row>
    <row r="42" spans="1:7" ht="12.75">
      <c r="A42" s="11" t="s">
        <v>124</v>
      </c>
      <c r="B42" s="17">
        <v>56781</v>
      </c>
      <c r="C42" s="17">
        <v>0</v>
      </c>
      <c r="D42" s="17">
        <v>60309</v>
      </c>
      <c r="E42" s="17">
        <v>60309</v>
      </c>
      <c r="F42" s="17">
        <v>62226</v>
      </c>
      <c r="G42" s="18">
        <f>IF(AND(F65&lt;&gt;0,62226&lt;&gt;0),IF(100*62226/(F65-0)&lt;0.005,"*",100*62226/(F65-0)),0)</f>
        <v>1.8056001286025096</v>
      </c>
    </row>
    <row r="43" spans="1:7" ht="12.75">
      <c r="A43" s="11" t="s">
        <v>125</v>
      </c>
      <c r="B43" s="17">
        <v>34321</v>
      </c>
      <c r="C43" s="17">
        <v>0</v>
      </c>
      <c r="D43" s="17">
        <v>36453</v>
      </c>
      <c r="E43" s="17">
        <v>36453</v>
      </c>
      <c r="F43" s="17">
        <v>37612</v>
      </c>
      <c r="G43" s="18">
        <f>IF(AND(F65&lt;&gt;0,37612&lt;&gt;0),IF(100*37612/(F65-0)&lt;0.005,"*",100*37612/(F65-0)),0)</f>
        <v>1.0913803239320798</v>
      </c>
    </row>
    <row r="44" spans="1:7" ht="12.75">
      <c r="A44" s="11" t="s">
        <v>126</v>
      </c>
      <c r="B44" s="17">
        <v>105191</v>
      </c>
      <c r="C44" s="17">
        <v>0</v>
      </c>
      <c r="D44" s="17">
        <v>111727</v>
      </c>
      <c r="E44" s="17">
        <v>111727</v>
      </c>
      <c r="F44" s="17">
        <v>115279</v>
      </c>
      <c r="G44" s="18">
        <f>IF(AND(F65&lt;&gt;0,115279&lt;&gt;0),IF(100*115279/(F65-0)&lt;0.005,"*",100*115279/(F65-0)),0)</f>
        <v>3.345029042926891</v>
      </c>
    </row>
    <row r="45" spans="1:7" ht="12.75">
      <c r="A45" s="11" t="s">
        <v>127</v>
      </c>
      <c r="B45" s="17">
        <v>9118</v>
      </c>
      <c r="C45" s="17">
        <v>0</v>
      </c>
      <c r="D45" s="17">
        <v>9684</v>
      </c>
      <c r="E45" s="17">
        <v>9684</v>
      </c>
      <c r="F45" s="17">
        <v>9992</v>
      </c>
      <c r="G45" s="18">
        <f>IF(AND(F65&lt;&gt;0,9992&lt;&gt;0),IF(100*9992/(F65-0)&lt;0.005,"*",100*9992/(F65-0)),0)</f>
        <v>0.2899359831098942</v>
      </c>
    </row>
    <row r="46" spans="1:7" ht="12.75">
      <c r="A46" s="11" t="s">
        <v>128</v>
      </c>
      <c r="B46" s="17">
        <v>30959</v>
      </c>
      <c r="C46" s="17">
        <v>0</v>
      </c>
      <c r="D46" s="17">
        <v>32882</v>
      </c>
      <c r="E46" s="17">
        <v>32882</v>
      </c>
      <c r="F46" s="17">
        <v>33928</v>
      </c>
      <c r="G46" s="18">
        <f>IF(AND(F65&lt;&gt;0,33928&lt;&gt;0),IF(100*33928/(F65-0)&lt;0.005,"*",100*33928/(F65-0)),0)</f>
        <v>0.9844823894067745</v>
      </c>
    </row>
    <row r="47" spans="1:7" ht="12.75">
      <c r="A47" s="11" t="s">
        <v>129</v>
      </c>
      <c r="B47" s="17">
        <v>8787</v>
      </c>
      <c r="C47" s="17">
        <v>0</v>
      </c>
      <c r="D47" s="17">
        <v>9333</v>
      </c>
      <c r="E47" s="17">
        <v>9333</v>
      </c>
      <c r="F47" s="17">
        <v>9630</v>
      </c>
      <c r="G47" s="18">
        <f>IF(AND(F65&lt;&gt;0,9630&lt;&gt;0),IF(100*9630/(F65-0)&lt;0.005,"*",100*9630/(F65-0)),0)</f>
        <v>0.27943189725263023</v>
      </c>
    </row>
    <row r="48" spans="1:7" ht="12.75">
      <c r="A48" s="11" t="s">
        <v>130</v>
      </c>
      <c r="B48" s="17">
        <v>62792</v>
      </c>
      <c r="C48" s="17">
        <v>0</v>
      </c>
      <c r="D48" s="17">
        <v>66693</v>
      </c>
      <c r="E48" s="17">
        <v>66693</v>
      </c>
      <c r="F48" s="17">
        <v>68814</v>
      </c>
      <c r="G48" s="18">
        <f>IF(AND(F65&lt;&gt;0,68814&lt;&gt;0),IF(100*68814/(F65-0)&lt;0.005,"*",100*68814/(F65-0)),0)</f>
        <v>1.99676288448001</v>
      </c>
    </row>
    <row r="49" spans="1:7" ht="12.75">
      <c r="A49" s="11" t="s">
        <v>131</v>
      </c>
      <c r="B49" s="17">
        <v>339328</v>
      </c>
      <c r="C49" s="17">
        <v>0</v>
      </c>
      <c r="D49" s="17">
        <v>360410</v>
      </c>
      <c r="E49" s="17">
        <v>360410</v>
      </c>
      <c r="F49" s="17">
        <v>371870</v>
      </c>
      <c r="G49" s="18">
        <f>IF(AND(F65&lt;&gt;0,371870&lt;&gt;0),IF(100*371870/(F65-0)&lt;0.005,"*",100*371870/(F65-0)),0)</f>
        <v>10.790481789339108</v>
      </c>
    </row>
    <row r="50" spans="1:7" ht="12.75">
      <c r="A50" s="11" t="s">
        <v>132</v>
      </c>
      <c r="B50" s="17">
        <v>28515</v>
      </c>
      <c r="C50" s="17">
        <v>0</v>
      </c>
      <c r="D50" s="17">
        <v>30287</v>
      </c>
      <c r="E50" s="17">
        <v>30287</v>
      </c>
      <c r="F50" s="17">
        <v>31250</v>
      </c>
      <c r="G50" s="18">
        <f>IF(AND(F65&lt;&gt;0,31250&lt;&gt;0),IF(100*31250/(F65-0)&lt;0.005,"*",100*31250/(F65-0)),0)</f>
        <v>0.9067753675124294</v>
      </c>
    </row>
    <row r="51" spans="1:7" ht="12.75">
      <c r="A51" s="11" t="s">
        <v>133</v>
      </c>
      <c r="B51" s="17">
        <v>6189</v>
      </c>
      <c r="C51" s="17">
        <v>0</v>
      </c>
      <c r="D51" s="17">
        <v>6574</v>
      </c>
      <c r="E51" s="17">
        <v>6574</v>
      </c>
      <c r="F51" s="17">
        <v>6783</v>
      </c>
      <c r="G51" s="18">
        <f>IF(AND(F65&lt;&gt;0,6783&lt;&gt;0),IF(100*6783/(F65-0)&lt;0.005,"*",100*6783/(F65-0)),0)</f>
        <v>0.19682103417077787</v>
      </c>
    </row>
    <row r="52" spans="1:7" ht="12.75">
      <c r="A52" s="11" t="s">
        <v>134</v>
      </c>
      <c r="B52" s="17">
        <v>44074</v>
      </c>
      <c r="C52" s="17">
        <v>0</v>
      </c>
      <c r="D52" s="17">
        <v>46812</v>
      </c>
      <c r="E52" s="17">
        <v>46812</v>
      </c>
      <c r="F52" s="17">
        <v>48301</v>
      </c>
      <c r="G52" s="18">
        <f>IF(AND(F65&lt;&gt;0,48301&lt;&gt;0),IF(100*48301/(F65-0)&lt;0.005,"*",100*48301/(F65-0)),0)</f>
        <v>1.4015410248389712</v>
      </c>
    </row>
    <row r="53" spans="1:7" ht="12.75">
      <c r="A53" s="11" t="s">
        <v>135</v>
      </c>
      <c r="B53" s="17">
        <v>45501</v>
      </c>
      <c r="C53" s="17">
        <v>0</v>
      </c>
      <c r="D53" s="17">
        <v>48328</v>
      </c>
      <c r="E53" s="17">
        <v>48328</v>
      </c>
      <c r="F53" s="17">
        <v>49865</v>
      </c>
      <c r="G53" s="18">
        <f>IF(AND(F65&lt;&gt;0,49865&lt;&gt;0),IF(100*49865/(F65-0)&lt;0.005,"*",100*49865/(F65-0)),0)</f>
        <v>1.4469233184322332</v>
      </c>
    </row>
    <row r="54" spans="1:7" ht="12.75">
      <c r="A54" s="11" t="s">
        <v>136</v>
      </c>
      <c r="B54" s="17">
        <v>15631</v>
      </c>
      <c r="C54" s="17">
        <v>0</v>
      </c>
      <c r="D54" s="17">
        <v>16602</v>
      </c>
      <c r="E54" s="17">
        <v>16602</v>
      </c>
      <c r="F54" s="17">
        <v>17130</v>
      </c>
      <c r="G54" s="18">
        <f>IF(AND(F65&lt;&gt;0,17130&lt;&gt;0),IF(100*17130/(F65-0)&lt;0.005,"*",100*17130/(F65-0)),0)</f>
        <v>0.49705798545561325</v>
      </c>
    </row>
    <row r="55" spans="1:7" ht="12.75">
      <c r="A55" s="11" t="s">
        <v>137</v>
      </c>
      <c r="B55" s="17">
        <v>38334</v>
      </c>
      <c r="C55" s="17">
        <v>0</v>
      </c>
      <c r="D55" s="17">
        <v>40716</v>
      </c>
      <c r="E55" s="17">
        <v>40716</v>
      </c>
      <c r="F55" s="17">
        <v>42010</v>
      </c>
      <c r="G55" s="18">
        <f>IF(AND(F65&lt;&gt;0,42010&lt;&gt;0),IF(100*42010/(F65-0)&lt;0.005,"*",100*42010/(F65-0)),0)</f>
        <v>1.218996262054309</v>
      </c>
    </row>
    <row r="56" spans="1:7" ht="12.75">
      <c r="A56" s="11" t="s">
        <v>138</v>
      </c>
      <c r="B56" s="17">
        <v>4987</v>
      </c>
      <c r="C56" s="17">
        <v>0</v>
      </c>
      <c r="D56" s="17">
        <v>5297</v>
      </c>
      <c r="E56" s="17">
        <v>5297</v>
      </c>
      <c r="F56" s="17">
        <v>5465</v>
      </c>
      <c r="G56" s="18">
        <f>IF(AND(F65&lt;&gt;0,5465&lt;&gt;0),IF(100*5465/(F65-0)&lt;0.005,"*",100*5465/(F65-0)),0)</f>
        <v>0.15857687627057365</v>
      </c>
    </row>
    <row r="57" spans="1:7" ht="12.75">
      <c r="A57" s="11" t="s">
        <v>139</v>
      </c>
      <c r="B57" s="17">
        <v>0</v>
      </c>
      <c r="C57" s="17">
        <v>0</v>
      </c>
      <c r="D57" s="17">
        <v>0</v>
      </c>
      <c r="E57" s="17">
        <v>0</v>
      </c>
      <c r="F57" s="17">
        <v>0</v>
      </c>
      <c r="G57" s="18">
        <f>IF(AND(F65&lt;&gt;0,0&lt;&gt;0),IF(100*0/(F65-0)&lt;0.005,"*",100*0/(F65-0)),0)</f>
        <v>0</v>
      </c>
    </row>
    <row r="58" spans="1:7" ht="12.75">
      <c r="A58" s="11" t="s">
        <v>140</v>
      </c>
      <c r="B58" s="17">
        <v>397</v>
      </c>
      <c r="C58" s="17">
        <v>0</v>
      </c>
      <c r="D58" s="17">
        <v>422</v>
      </c>
      <c r="E58" s="17">
        <v>422</v>
      </c>
      <c r="F58" s="17">
        <v>435</v>
      </c>
      <c r="G58" s="18">
        <f>IF(AND(F65&lt;&gt;0,435&lt;&gt;0),IF(100*435/(F65-0)&lt;0.005,"*",100*435/(F65-0)),0)</f>
        <v>0.012622313115773016</v>
      </c>
    </row>
    <row r="59" spans="1:7" ht="12.75">
      <c r="A59" s="11" t="s">
        <v>141</v>
      </c>
      <c r="B59" s="17">
        <v>0</v>
      </c>
      <c r="C59" s="17">
        <v>0</v>
      </c>
      <c r="D59" s="17">
        <v>0</v>
      </c>
      <c r="E59" s="17">
        <v>0</v>
      </c>
      <c r="F59" s="17">
        <v>0</v>
      </c>
      <c r="G59" s="18">
        <f>IF(AND(F65&lt;&gt;0,0&lt;&gt;0),IF(100*0/(F65-0)&lt;0.005,"*",100*0/(F65-0)),0)</f>
        <v>0</v>
      </c>
    </row>
    <row r="60" spans="1:7" ht="12.75">
      <c r="A60" s="11" t="s">
        <v>142</v>
      </c>
      <c r="B60" s="17">
        <v>27380</v>
      </c>
      <c r="C60" s="17">
        <v>0</v>
      </c>
      <c r="D60" s="17">
        <v>29081</v>
      </c>
      <c r="E60" s="17">
        <v>29081</v>
      </c>
      <c r="F60" s="17">
        <v>30006</v>
      </c>
      <c r="G60" s="18">
        <f>IF(AND(F65&lt;&gt;0,30006&lt;&gt;0),IF(100*30006/(F65-0)&lt;0.005,"*",100*30006/(F65-0)),0)</f>
        <v>0.8706784536824945</v>
      </c>
    </row>
    <row r="61" spans="1:7" ht="12.75">
      <c r="A61" s="11" t="s">
        <v>143</v>
      </c>
      <c r="B61" s="17">
        <v>0</v>
      </c>
      <c r="C61" s="17">
        <v>0</v>
      </c>
      <c r="D61" s="17">
        <v>0</v>
      </c>
      <c r="E61" s="17">
        <v>0</v>
      </c>
      <c r="F61" s="17">
        <v>0</v>
      </c>
      <c r="G61" s="18">
        <f>IF(AND(F65&lt;&gt;0,0&lt;&gt;0),IF(100*0/(F65-0)&lt;0.005,"*",100*0/(F65-0)),0)</f>
        <v>0</v>
      </c>
    </row>
    <row r="62" spans="1:7" ht="12.75">
      <c r="A62" s="11" t="s">
        <v>144</v>
      </c>
      <c r="B62" s="17">
        <v>1336</v>
      </c>
      <c r="C62" s="17">
        <v>0</v>
      </c>
      <c r="D62" s="17">
        <v>1419</v>
      </c>
      <c r="E62" s="17">
        <v>1419</v>
      </c>
      <c r="F62" s="17">
        <v>1464</v>
      </c>
      <c r="G62" s="18">
        <f>IF(AND(F65&lt;&gt;0,1464&lt;&gt;0),IF(100*1464/(F65-0)&lt;0.005,"*",100*1464/(F65-0)),0)</f>
        <v>0.04248061241722229</v>
      </c>
    </row>
    <row r="63" spans="1:7" ht="12.75">
      <c r="A63" s="11" t="s">
        <v>145</v>
      </c>
      <c r="B63" s="17">
        <v>0</v>
      </c>
      <c r="C63" s="17">
        <v>0</v>
      </c>
      <c r="D63" s="17">
        <v>0</v>
      </c>
      <c r="E63" s="17">
        <v>0</v>
      </c>
      <c r="F63" s="17">
        <v>0</v>
      </c>
      <c r="G63" s="18">
        <f>IF(AND(F65&lt;&gt;0,0&lt;&gt;0),IF(100*0/(F65-0)&lt;0.005,"*",100*0/(F65-0)),0)</f>
        <v>0</v>
      </c>
    </row>
    <row r="64" spans="1:7" ht="12.75">
      <c r="A64" s="11" t="s">
        <v>146</v>
      </c>
      <c r="B64" s="17">
        <v>205786</v>
      </c>
      <c r="C64" s="17">
        <v>0</v>
      </c>
      <c r="D64" s="17">
        <v>0</v>
      </c>
      <c r="E64" s="17">
        <v>0</v>
      </c>
      <c r="F64" s="17">
        <v>0</v>
      </c>
      <c r="G64" s="18">
        <v>0</v>
      </c>
    </row>
    <row r="65" spans="1:7" ht="15" customHeight="1">
      <c r="A65" s="19" t="s">
        <v>87</v>
      </c>
      <c r="B65" s="20">
        <f>44588+9318+49377+55542+396495+24837+16563+14868+8273+226947+111411+7121+7343+145085+53277+27719+33133+34164+93848+9685+48152+62727+65531+62851+41444+48387+10657+32583+8955+4544+71774+32167+239402+91080+10577+84656+56781+34321+105191+9118+30959+8787+62792+339328+28515+6189+44074+45501+15631+38334+4987+0+397+0+27380+0+1336+0+205786+0</f>
        <v>3350488</v>
      </c>
      <c r="C65" s="20">
        <f>0+0+0+0+0+0+0+0+0+0+0+0+0+0+0+0+0+0+0+0+0+0+0+0+0+0+0+0+0+0+0+0+0+0+0+0+0+0+0+0+0+0+0+0+0+0+0+0+0+0+0+0+0+0+0+0+0+0+0+0</f>
        <v>0</v>
      </c>
      <c r="D65" s="20">
        <f>47358+9897+52445+58993+421129+26380+17592+15792+8787+241047+118333+7563+7799+154099+56587+29441+35192+36287+99679+10287+51144+66624+69602+66756+44019+51393+11319+34607+9511+4826+76233+34166+254276+96739+11234+89916+60309+36453+111727+9684+32882+9333+66693+360410+30287+6574+46812+48328+16602+40716+5297+0+422+0+29081+0+1419+0+0+0</f>
        <v>3340081</v>
      </c>
      <c r="E65" s="20">
        <f>SUM(C65:D65)</f>
        <v>3340081</v>
      </c>
      <c r="F65" s="20">
        <f>48864+10212+54112+60868+434519+27219+18151+16294+9066+248711+122095+7804+8047+158999+58386+30377+36310+37440+102848+10614+52770+68743+71815+68878+45418+53027+11679+35708+9814+4980+78657+35252+262361+99815+11591+92774+62226+37612+115279+9992+33928+9630+68814+371870+31250+6783+48301+49865+17130+42010+5465+0+435+0+30006+0+1464+0+0+0</f>
        <v>3446278</v>
      </c>
      <c r="G65" s="21" t="s">
        <v>147</v>
      </c>
    </row>
    <row r="66" spans="1:7" ht="15" customHeight="1">
      <c r="A66" s="33" t="s">
        <v>148</v>
      </c>
      <c r="B66" s="33"/>
      <c r="C66" s="33"/>
      <c r="D66" s="33"/>
      <c r="E66" s="33"/>
      <c r="F66" s="33"/>
      <c r="G66" s="33"/>
    </row>
    <row r="67" spans="1:7" ht="15" customHeight="1">
      <c r="A67" s="26" t="s">
        <v>149</v>
      </c>
      <c r="B67" s="26"/>
      <c r="C67" s="26"/>
      <c r="D67" s="26"/>
      <c r="E67" s="26"/>
      <c r="F67" s="26"/>
      <c r="G67" s="26"/>
    </row>
  </sheetData>
  <sheetProtection/>
  <mergeCells count="6">
    <mergeCell ref="A67:G67"/>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76</v>
      </c>
      <c r="B1" s="10"/>
      <c r="C1" s="10"/>
      <c r="D1" s="10"/>
      <c r="E1" s="10"/>
      <c r="F1" s="10"/>
      <c r="G1" s="12" t="s">
        <v>154</v>
      </c>
    </row>
    <row r="2" spans="1:7" ht="12.75">
      <c r="A2" s="13" t="s">
        <v>155</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45907</v>
      </c>
      <c r="C6" s="17">
        <v>101</v>
      </c>
      <c r="D6" s="17">
        <v>57853</v>
      </c>
      <c r="E6" s="17">
        <v>57954</v>
      </c>
      <c r="F6" s="17">
        <v>59584</v>
      </c>
      <c r="G6" s="18">
        <f>IF(AND(F65&lt;&gt;0,59584&lt;&gt;0),IF(100*59584/(F65-0)&lt;0.005,"*",100*59584/(F65-0)),0)</f>
        <v>1.1396473489198369</v>
      </c>
    </row>
    <row r="7" spans="1:7" ht="12.75">
      <c r="A7" s="11" t="s">
        <v>89</v>
      </c>
      <c r="B7" s="17">
        <v>10705</v>
      </c>
      <c r="C7" s="17">
        <v>23</v>
      </c>
      <c r="D7" s="17">
        <v>13491</v>
      </c>
      <c r="E7" s="17">
        <v>13514</v>
      </c>
      <c r="F7" s="17">
        <v>13894</v>
      </c>
      <c r="G7" s="18">
        <f>IF(AND(F65&lt;&gt;0,13894&lt;&gt;0),IF(100*13894/(F65-0)&lt;0.005,"*",100*13894/(F65-0)),0)</f>
        <v>0.2657468492530245</v>
      </c>
    </row>
    <row r="8" spans="1:7" ht="12.75">
      <c r="A8" s="11" t="s">
        <v>90</v>
      </c>
      <c r="B8" s="17">
        <v>71178</v>
      </c>
      <c r="C8" s="17">
        <v>156</v>
      </c>
      <c r="D8" s="17">
        <v>89700</v>
      </c>
      <c r="E8" s="17">
        <v>89856</v>
      </c>
      <c r="F8" s="17">
        <v>92383</v>
      </c>
      <c r="G8" s="18">
        <f>IF(AND(F65&lt;&gt;0,92383&lt;&gt;0),IF(100*92383/(F65-0)&lt;0.005,"*",100*92383/(F65-0)),0)</f>
        <v>1.7669851140450672</v>
      </c>
    </row>
    <row r="9" spans="1:7" ht="12.75">
      <c r="A9" s="11" t="s">
        <v>91</v>
      </c>
      <c r="B9" s="17">
        <v>37282</v>
      </c>
      <c r="C9" s="17">
        <v>82</v>
      </c>
      <c r="D9" s="17">
        <v>46984</v>
      </c>
      <c r="E9" s="17">
        <v>47066</v>
      </c>
      <c r="F9" s="17">
        <v>48389</v>
      </c>
      <c r="G9" s="18">
        <f>IF(AND(F65&lt;&gt;0,48389&lt;&gt;0),IF(100*48389/(F65-0)&lt;0.005,"*",100*48389/(F65-0)),0)</f>
        <v>0.9255235561036853</v>
      </c>
    </row>
    <row r="10" spans="1:7" ht="12.75">
      <c r="A10" s="11" t="s">
        <v>92</v>
      </c>
      <c r="B10" s="17">
        <v>986678</v>
      </c>
      <c r="C10" s="17">
        <v>2160</v>
      </c>
      <c r="D10" s="17">
        <v>1243436</v>
      </c>
      <c r="E10" s="17">
        <v>1245596</v>
      </c>
      <c r="F10" s="17">
        <v>1280628</v>
      </c>
      <c r="G10" s="18">
        <f>IF(AND(F65&lt;&gt;0,1280628&lt;&gt;0),IF(100*1280628/(F65-0)&lt;0.005,"*",100*1280628/(F65-0)),0)</f>
        <v>24.494231759407104</v>
      </c>
    </row>
    <row r="11" spans="1:7" ht="12.75">
      <c r="A11" s="11" t="s">
        <v>93</v>
      </c>
      <c r="B11" s="17">
        <v>42800</v>
      </c>
      <c r="C11" s="17">
        <v>94</v>
      </c>
      <c r="D11" s="17">
        <v>53938</v>
      </c>
      <c r="E11" s="17">
        <v>54032</v>
      </c>
      <c r="F11" s="17">
        <v>55551</v>
      </c>
      <c r="G11" s="18">
        <f>IF(AND(F65&lt;&gt;0,55551&lt;&gt;0),IF(100*55551/(F65-0)&lt;0.005,"*",100*55551/(F65-0)),0)</f>
        <v>1.0625092286494</v>
      </c>
    </row>
    <row r="12" spans="1:7" ht="12.75">
      <c r="A12" s="11" t="s">
        <v>94</v>
      </c>
      <c r="B12" s="17">
        <v>53407</v>
      </c>
      <c r="C12" s="17">
        <v>117</v>
      </c>
      <c r="D12" s="17">
        <v>67305</v>
      </c>
      <c r="E12" s="17">
        <v>67422</v>
      </c>
      <c r="F12" s="17">
        <v>69318</v>
      </c>
      <c r="G12" s="18">
        <f>IF(AND(F65&lt;&gt;0,69318&lt;&gt;0),IF(100*69318/(F65-0)&lt;0.005,"*",100*69318/(F65-0)),0)</f>
        <v>1.325826982619919</v>
      </c>
    </row>
    <row r="13" spans="1:7" ht="12.75">
      <c r="A13" s="11" t="s">
        <v>95</v>
      </c>
      <c r="B13" s="17">
        <v>13976</v>
      </c>
      <c r="C13" s="17">
        <v>31</v>
      </c>
      <c r="D13" s="17">
        <v>17613</v>
      </c>
      <c r="E13" s="17">
        <v>17644</v>
      </c>
      <c r="F13" s="17">
        <v>18140</v>
      </c>
      <c r="G13" s="18">
        <f>IF(AND(F65&lt;&gt;0,18140&lt;&gt;0),IF(100*18140/(F65-0)&lt;0.005,"*",100*18140/(F65-0)),0)</f>
        <v>0.34695896397364795</v>
      </c>
    </row>
    <row r="14" spans="1:7" ht="12.75">
      <c r="A14" s="11" t="s">
        <v>96</v>
      </c>
      <c r="B14" s="17">
        <v>19653</v>
      </c>
      <c r="C14" s="17">
        <v>43</v>
      </c>
      <c r="D14" s="17">
        <v>24767</v>
      </c>
      <c r="E14" s="17">
        <v>24810</v>
      </c>
      <c r="F14" s="17">
        <v>25508</v>
      </c>
      <c r="G14" s="18">
        <f>IF(AND(F65&lt;&gt;0,25508&lt;&gt;0),IF(100*25508/(F65-0)&lt;0.005,"*",100*25508/(F65-0)),0)</f>
        <v>0.487884743827994</v>
      </c>
    </row>
    <row r="15" spans="1:7" ht="12.75">
      <c r="A15" s="11" t="s">
        <v>97</v>
      </c>
      <c r="B15" s="17">
        <v>89450</v>
      </c>
      <c r="C15" s="17">
        <v>196</v>
      </c>
      <c r="D15" s="17">
        <v>112727</v>
      </c>
      <c r="E15" s="17">
        <v>112923</v>
      </c>
      <c r="F15" s="17">
        <v>116099</v>
      </c>
      <c r="G15" s="18">
        <f>IF(AND(F65&lt;&gt;0,116099&lt;&gt;0),IF(100*116099/(F65-0)&lt;0.005,"*",100*116099/(F65-0)),0)</f>
        <v>2.220594749634871</v>
      </c>
    </row>
    <row r="16" spans="1:7" ht="12.75">
      <c r="A16" s="11" t="s">
        <v>98</v>
      </c>
      <c r="B16" s="17">
        <v>102703</v>
      </c>
      <c r="C16" s="17">
        <v>225</v>
      </c>
      <c r="D16" s="17">
        <v>129429</v>
      </c>
      <c r="E16" s="17">
        <v>129654</v>
      </c>
      <c r="F16" s="17">
        <v>133300</v>
      </c>
      <c r="G16" s="18">
        <f>IF(AND(F65&lt;&gt;0,133300&lt;&gt;0),IF(100*133300/(F65-0)&lt;0.005,"*",100*133300/(F65-0)),0)</f>
        <v>2.549593709905583</v>
      </c>
    </row>
    <row r="17" spans="1:7" ht="12.75">
      <c r="A17" s="11" t="s">
        <v>99</v>
      </c>
      <c r="B17" s="17">
        <v>19245</v>
      </c>
      <c r="C17" s="17">
        <v>42</v>
      </c>
      <c r="D17" s="17">
        <v>24253</v>
      </c>
      <c r="E17" s="17">
        <v>24295</v>
      </c>
      <c r="F17" s="17">
        <v>24978</v>
      </c>
      <c r="G17" s="18">
        <f>IF(AND(F65&lt;&gt;0,24978&lt;&gt;0),IF(100*24978/(F65-0)&lt;0.005,"*",100*24978/(F65-0)),0)</f>
        <v>0.47774757453879707</v>
      </c>
    </row>
    <row r="18" spans="1:7" ht="12.75">
      <c r="A18" s="11" t="s">
        <v>100</v>
      </c>
      <c r="B18" s="17">
        <v>8798</v>
      </c>
      <c r="C18" s="17">
        <v>19</v>
      </c>
      <c r="D18" s="17">
        <v>11087</v>
      </c>
      <c r="E18" s="17">
        <v>11106</v>
      </c>
      <c r="F18" s="17">
        <v>11419</v>
      </c>
      <c r="G18" s="18">
        <f>IF(AND(F65&lt;&gt;0,11419&lt;&gt;0),IF(100*11419/(F65-0)&lt;0.005,"*",100*11419/(F65-0)),0)</f>
        <v>0.21840818134592535</v>
      </c>
    </row>
    <row r="19" spans="1:7" ht="12.75">
      <c r="A19" s="11" t="s">
        <v>101</v>
      </c>
      <c r="B19" s="17">
        <v>109026</v>
      </c>
      <c r="C19" s="17">
        <v>239</v>
      </c>
      <c r="D19" s="17">
        <v>137397</v>
      </c>
      <c r="E19" s="17">
        <v>137636</v>
      </c>
      <c r="F19" s="17">
        <v>141507</v>
      </c>
      <c r="G19" s="18">
        <f>IF(AND(F65&lt;&gt;0,141507&lt;&gt;0),IF(100*141507/(F65-0)&lt;0.005,"*",100*141507/(F65-0)),0)</f>
        <v>2.706566820012073</v>
      </c>
    </row>
    <row r="20" spans="1:7" ht="12.75">
      <c r="A20" s="11" t="s">
        <v>102</v>
      </c>
      <c r="B20" s="17">
        <v>53121</v>
      </c>
      <c r="C20" s="17">
        <v>116</v>
      </c>
      <c r="D20" s="17">
        <v>66944</v>
      </c>
      <c r="E20" s="17">
        <v>67060</v>
      </c>
      <c r="F20" s="17">
        <v>68947</v>
      </c>
      <c r="G20" s="18">
        <f>IF(AND(F65&lt;&gt;0,68947&lt;&gt;0),IF(100*68947/(F65-0)&lt;0.005,"*",100*68947/(F65-0)),0)</f>
        <v>1.318730964117481</v>
      </c>
    </row>
    <row r="21" spans="1:7" ht="12.75">
      <c r="A21" s="11" t="s">
        <v>103</v>
      </c>
      <c r="B21" s="17">
        <v>20785</v>
      </c>
      <c r="C21" s="17">
        <v>46</v>
      </c>
      <c r="D21" s="17">
        <v>26194</v>
      </c>
      <c r="E21" s="17">
        <v>26240</v>
      </c>
      <c r="F21" s="17">
        <v>26977</v>
      </c>
      <c r="G21" s="18">
        <f>IF(AND(F65&lt;&gt;0,26977&lt;&gt;0),IF(100*26977/(F65-0)&lt;0.005,"*",100*26977/(F65-0)),0)</f>
        <v>0.5159819168201268</v>
      </c>
    </row>
    <row r="22" spans="1:7" ht="12.75">
      <c r="A22" s="11" t="s">
        <v>104</v>
      </c>
      <c r="B22" s="17">
        <v>19837</v>
      </c>
      <c r="C22" s="17">
        <v>43</v>
      </c>
      <c r="D22" s="17">
        <v>24999</v>
      </c>
      <c r="E22" s="17">
        <v>25042</v>
      </c>
      <c r="F22" s="17">
        <v>25747</v>
      </c>
      <c r="G22" s="18">
        <f>IF(AND(F65&lt;&gt;0,25747&lt;&gt;0),IF(100*25747/(F65-0)&lt;0.005,"*",100*25747/(F65-0)),0)</f>
        <v>0.4924560333753866</v>
      </c>
    </row>
    <row r="23" spans="1:7" ht="12.75">
      <c r="A23" s="11" t="s">
        <v>105</v>
      </c>
      <c r="B23" s="17">
        <v>54506</v>
      </c>
      <c r="C23" s="17">
        <v>119</v>
      </c>
      <c r="D23" s="17">
        <v>68690</v>
      </c>
      <c r="E23" s="17">
        <v>68809</v>
      </c>
      <c r="F23" s="17">
        <v>70744</v>
      </c>
      <c r="G23" s="18">
        <f>IF(AND(F65&lt;&gt;0,70744&lt;&gt;0),IF(100*70744/(F65-0)&lt;0.005,"*",100*70744/(F65-0)),0)</f>
        <v>1.3531017060282111</v>
      </c>
    </row>
    <row r="24" spans="1:7" ht="12.75">
      <c r="A24" s="11" t="s">
        <v>106</v>
      </c>
      <c r="B24" s="17">
        <v>62180</v>
      </c>
      <c r="C24" s="17">
        <v>136</v>
      </c>
      <c r="D24" s="17">
        <v>78361</v>
      </c>
      <c r="E24" s="17">
        <v>78497</v>
      </c>
      <c r="F24" s="17">
        <v>80705</v>
      </c>
      <c r="G24" s="18">
        <f>IF(AND(F65&lt;&gt;0,80705&lt;&gt;0),IF(100*80705/(F65-0)&lt;0.005,"*",100*80705/(F65-0)),0)</f>
        <v>1.5436231084615908</v>
      </c>
    </row>
    <row r="25" spans="1:7" ht="12.75">
      <c r="A25" s="11" t="s">
        <v>107</v>
      </c>
      <c r="B25" s="17">
        <v>14565</v>
      </c>
      <c r="C25" s="17">
        <v>32</v>
      </c>
      <c r="D25" s="17">
        <v>18355</v>
      </c>
      <c r="E25" s="17">
        <v>18387</v>
      </c>
      <c r="F25" s="17">
        <v>18904</v>
      </c>
      <c r="G25" s="18">
        <f>IF(AND(F65&lt;&gt;0,18904&lt;&gt;0),IF(100*18904/(F65-0)&lt;0.005,"*",100*18904/(F65-0)),0)</f>
        <v>0.36157178913769794</v>
      </c>
    </row>
    <row r="26" spans="1:7" ht="12.75">
      <c r="A26" s="11" t="s">
        <v>108</v>
      </c>
      <c r="B26" s="17">
        <v>69308</v>
      </c>
      <c r="C26" s="17">
        <v>152</v>
      </c>
      <c r="D26" s="17">
        <v>87344</v>
      </c>
      <c r="E26" s="17">
        <v>87496</v>
      </c>
      <c r="F26" s="17">
        <v>89956</v>
      </c>
      <c r="G26" s="18">
        <f>IF(AND(F65&lt;&gt;0,89956&lt;&gt;0),IF(100*89956/(F65-0)&lt;0.005,"*",100*89956/(F65-0)),0)</f>
        <v>1.7205645293943481</v>
      </c>
    </row>
    <row r="27" spans="1:7" ht="12.75">
      <c r="A27" s="11" t="s">
        <v>109</v>
      </c>
      <c r="B27" s="17">
        <v>59777</v>
      </c>
      <c r="C27" s="17">
        <v>131</v>
      </c>
      <c r="D27" s="17">
        <v>75332</v>
      </c>
      <c r="E27" s="17">
        <v>75463</v>
      </c>
      <c r="F27" s="17">
        <v>77586</v>
      </c>
      <c r="G27" s="18">
        <f>IF(AND(F65&lt;&gt;0,77586&lt;&gt;0),IF(100*77586/(F65-0)&lt;0.005,"*",100*77586/(F65-0)),0)</f>
        <v>1.4839668235313919</v>
      </c>
    </row>
    <row r="28" spans="1:7" ht="12.75">
      <c r="A28" s="11" t="s">
        <v>110</v>
      </c>
      <c r="B28" s="17">
        <v>168178</v>
      </c>
      <c r="C28" s="17">
        <v>368</v>
      </c>
      <c r="D28" s="17">
        <v>211942</v>
      </c>
      <c r="E28" s="17">
        <v>212310</v>
      </c>
      <c r="F28" s="17">
        <v>218281</v>
      </c>
      <c r="G28" s="18">
        <f>IF(AND(F65&lt;&gt;0,218281&lt;&gt;0),IF(100*218281/(F65-0)&lt;0.005,"*",100*218281/(F65-0)),0)</f>
        <v>4.1750027351230345</v>
      </c>
    </row>
    <row r="29" spans="1:7" ht="12.75">
      <c r="A29" s="11" t="s">
        <v>111</v>
      </c>
      <c r="B29" s="17">
        <v>70770</v>
      </c>
      <c r="C29" s="17">
        <v>155</v>
      </c>
      <c r="D29" s="17">
        <v>89186</v>
      </c>
      <c r="E29" s="17">
        <v>89341</v>
      </c>
      <c r="F29" s="17">
        <v>91854</v>
      </c>
      <c r="G29" s="18">
        <f>IF(AND(F65&lt;&gt;0,91854&lt;&gt;0),IF(100*91854/(F65-0)&lt;0.005,"*",100*91854/(F65-0)),0)</f>
        <v>1.756867071490378</v>
      </c>
    </row>
    <row r="30" spans="1:7" ht="12.75">
      <c r="A30" s="11" t="s">
        <v>112</v>
      </c>
      <c r="B30" s="17">
        <v>23627</v>
      </c>
      <c r="C30" s="17">
        <v>52</v>
      </c>
      <c r="D30" s="17">
        <v>29775</v>
      </c>
      <c r="E30" s="17">
        <v>29827</v>
      </c>
      <c r="F30" s="17">
        <v>30666</v>
      </c>
      <c r="G30" s="18">
        <f>IF(AND(F65&lt;&gt;0,30666&lt;&gt;0),IF(100*30666/(F65-0)&lt;0.005,"*",100*30666/(F65-0)),0)</f>
        <v>0.5865404404198394</v>
      </c>
    </row>
    <row r="31" spans="1:7" ht="12.75">
      <c r="A31" s="11" t="s">
        <v>113</v>
      </c>
      <c r="B31" s="17">
        <v>42220</v>
      </c>
      <c r="C31" s="17">
        <v>92</v>
      </c>
      <c r="D31" s="17">
        <v>53207</v>
      </c>
      <c r="E31" s="17">
        <v>53299</v>
      </c>
      <c r="F31" s="17">
        <v>54798</v>
      </c>
      <c r="G31" s="18">
        <f>IF(AND(F65&lt;&gt;0,54798&lt;&gt;0),IF(100*54798/(F65-0)&lt;0.005,"*",100*54798/(F65-0)),0)</f>
        <v>1.0481067975649372</v>
      </c>
    </row>
    <row r="32" spans="1:7" ht="12.75">
      <c r="A32" s="11" t="s">
        <v>114</v>
      </c>
      <c r="B32" s="17">
        <v>11394</v>
      </c>
      <c r="C32" s="17">
        <v>25</v>
      </c>
      <c r="D32" s="17">
        <v>14359</v>
      </c>
      <c r="E32" s="17">
        <v>14384</v>
      </c>
      <c r="F32" s="17">
        <v>14788</v>
      </c>
      <c r="G32" s="18">
        <f>IF(AND(F65&lt;&gt;0,14788&lt;&gt;0),IF(100*14788/(F65-0)&lt;0.005,"*",100*14788/(F65-0)),0)</f>
        <v>0.28284614990310397</v>
      </c>
    </row>
    <row r="33" spans="1:7" ht="12.75">
      <c r="A33" s="11" t="s">
        <v>115</v>
      </c>
      <c r="B33" s="17">
        <v>15675</v>
      </c>
      <c r="C33" s="17">
        <v>34</v>
      </c>
      <c r="D33" s="17">
        <v>19754</v>
      </c>
      <c r="E33" s="17">
        <v>19788</v>
      </c>
      <c r="F33" s="17">
        <v>20345</v>
      </c>
      <c r="G33" s="18">
        <f>IF(AND(F65&lt;&gt;0,20345&lt;&gt;0),IF(100*20345/(F65-0)&lt;0.005,"*",100*20345/(F65-0)),0)</f>
        <v>0.38913341356360903</v>
      </c>
    </row>
    <row r="34" spans="1:7" ht="12.75">
      <c r="A34" s="11" t="s">
        <v>116</v>
      </c>
      <c r="B34" s="17">
        <v>24111</v>
      </c>
      <c r="C34" s="17">
        <v>53</v>
      </c>
      <c r="D34" s="17">
        <v>30385</v>
      </c>
      <c r="E34" s="17">
        <v>30438</v>
      </c>
      <c r="F34" s="17">
        <v>31294</v>
      </c>
      <c r="G34" s="18">
        <f>IF(AND(F65&lt;&gt;0,31294&lt;&gt;0),IF(100*31294/(F65-0)&lt;0.005,"*",100*31294/(F65-0)),0)</f>
        <v>0.5985520296908126</v>
      </c>
    </row>
    <row r="35" spans="1:7" ht="12.75">
      <c r="A35" s="11" t="s">
        <v>117</v>
      </c>
      <c r="B35" s="17">
        <v>8809</v>
      </c>
      <c r="C35" s="17">
        <v>19</v>
      </c>
      <c r="D35" s="17">
        <v>11101</v>
      </c>
      <c r="E35" s="17">
        <v>11120</v>
      </c>
      <c r="F35" s="17">
        <v>11433</v>
      </c>
      <c r="G35" s="18">
        <f>IF(AND(F65&lt;&gt;0,11433&lt;&gt;0),IF(100*11433/(F65-0)&lt;0.005,"*",100*11433/(F65-0)),0)</f>
        <v>0.21867595562903622</v>
      </c>
    </row>
    <row r="36" spans="1:7" ht="12.75">
      <c r="A36" s="11" t="s">
        <v>118</v>
      </c>
      <c r="B36" s="17">
        <v>148416</v>
      </c>
      <c r="C36" s="17">
        <v>325</v>
      </c>
      <c r="D36" s="17">
        <v>187037</v>
      </c>
      <c r="E36" s="17">
        <v>187362</v>
      </c>
      <c r="F36" s="17">
        <v>192632</v>
      </c>
      <c r="G36" s="18">
        <f>IF(AND(F65&lt;&gt;0,192632&lt;&gt;0),IF(100*192632/(F65-0)&lt;0.005,"*",100*192632/(F65-0)),0)</f>
        <v>3.684421121729424</v>
      </c>
    </row>
    <row r="37" spans="1:7" ht="12.75">
      <c r="A37" s="11" t="s">
        <v>119</v>
      </c>
      <c r="B37" s="17">
        <v>34637</v>
      </c>
      <c r="C37" s="17">
        <v>76</v>
      </c>
      <c r="D37" s="17">
        <v>43650</v>
      </c>
      <c r="E37" s="17">
        <v>43726</v>
      </c>
      <c r="F37" s="17">
        <v>44956</v>
      </c>
      <c r="G37" s="18">
        <f>IF(AND(F65&lt;&gt;0,44956&lt;&gt;0),IF(100*44956/(F65-0)&lt;0.005,"*",100*44956/(F65-0)),0)</f>
        <v>0.8598614765379998</v>
      </c>
    </row>
    <row r="38" spans="1:7" ht="12.75">
      <c r="A38" s="11" t="s">
        <v>120</v>
      </c>
      <c r="B38" s="17">
        <v>350409</v>
      </c>
      <c r="C38" s="17">
        <v>767</v>
      </c>
      <c r="D38" s="17">
        <v>441594</v>
      </c>
      <c r="E38" s="17">
        <v>442361</v>
      </c>
      <c r="F38" s="17">
        <v>454802</v>
      </c>
      <c r="G38" s="18">
        <f>IF(AND(F65&lt;&gt;0,454802&lt;&gt;0),IF(100*454802/(F65-0)&lt;0.005,"*",100*454802/(F65-0)),0)</f>
        <v>8.698877107670508</v>
      </c>
    </row>
    <row r="39" spans="1:7" ht="12.75">
      <c r="A39" s="11" t="s">
        <v>121</v>
      </c>
      <c r="B39" s="17">
        <v>96896</v>
      </c>
      <c r="C39" s="17">
        <v>212</v>
      </c>
      <c r="D39" s="17">
        <v>122111</v>
      </c>
      <c r="E39" s="17">
        <v>122323</v>
      </c>
      <c r="F39" s="17">
        <v>125763</v>
      </c>
      <c r="G39" s="18">
        <f>IF(AND(F65&lt;&gt;0,125763&lt;&gt;0),IF(100*125763/(F65-0)&lt;0.005,"*",100*125763/(F65-0)),0)</f>
        <v>2.405435511919398</v>
      </c>
    </row>
    <row r="40" spans="1:7" ht="12.75">
      <c r="A40" s="11" t="s">
        <v>122</v>
      </c>
      <c r="B40" s="17">
        <v>8672</v>
      </c>
      <c r="C40" s="17">
        <v>19</v>
      </c>
      <c r="D40" s="17">
        <v>10929</v>
      </c>
      <c r="E40" s="17">
        <v>10948</v>
      </c>
      <c r="F40" s="17">
        <v>11256</v>
      </c>
      <c r="G40" s="18">
        <f>IF(AND(F65&lt;&gt;0,11256&lt;&gt;0),IF(100*11256/(F65-0)&lt;0.005,"*",100*11256/(F65-0)),0)</f>
        <v>0.21529052362113457</v>
      </c>
    </row>
    <row r="41" spans="1:7" ht="12.75">
      <c r="A41" s="11" t="s">
        <v>123</v>
      </c>
      <c r="B41" s="17">
        <v>109116</v>
      </c>
      <c r="C41" s="17">
        <v>239</v>
      </c>
      <c r="D41" s="17">
        <v>137511</v>
      </c>
      <c r="E41" s="17">
        <v>137750</v>
      </c>
      <c r="F41" s="17">
        <v>141624</v>
      </c>
      <c r="G41" s="18">
        <f>IF(AND(F65&lt;&gt;0,141624&lt;&gt;0),IF(100*141624/(F65-0)&lt;0.005,"*",100*141624/(F65-0)),0)</f>
        <v>2.708804647949499</v>
      </c>
    </row>
    <row r="42" spans="1:7" ht="12.75">
      <c r="A42" s="11" t="s">
        <v>124</v>
      </c>
      <c r="B42" s="17">
        <v>44078</v>
      </c>
      <c r="C42" s="17">
        <v>96</v>
      </c>
      <c r="D42" s="17">
        <v>55548</v>
      </c>
      <c r="E42" s="17">
        <v>55644</v>
      </c>
      <c r="F42" s="17">
        <v>57210</v>
      </c>
      <c r="G42" s="18">
        <f>IF(AND(F65&lt;&gt;0,57210&lt;&gt;0),IF(100*57210/(F65-0)&lt;0.005,"*",100*57210/(F65-0)),0)</f>
        <v>1.0942404811980375</v>
      </c>
    </row>
    <row r="43" spans="1:7" ht="12.75">
      <c r="A43" s="11" t="s">
        <v>125</v>
      </c>
      <c r="B43" s="17">
        <v>77986</v>
      </c>
      <c r="C43" s="17">
        <v>171</v>
      </c>
      <c r="D43" s="17">
        <v>98280</v>
      </c>
      <c r="E43" s="17">
        <v>98451</v>
      </c>
      <c r="F43" s="17">
        <v>101219</v>
      </c>
      <c r="G43" s="18">
        <f>IF(AND(F65&lt;&gt;0,101219&lt;&gt;0),IF(100*101219/(F65-0)&lt;0.005,"*",100*101219/(F65-0)),0)</f>
        <v>1.935988940157038</v>
      </c>
    </row>
    <row r="44" spans="1:7" ht="12.75">
      <c r="A44" s="11" t="s">
        <v>126</v>
      </c>
      <c r="B44" s="17">
        <v>182164</v>
      </c>
      <c r="C44" s="17">
        <v>399</v>
      </c>
      <c r="D44" s="17">
        <v>229568</v>
      </c>
      <c r="E44" s="17">
        <v>229967</v>
      </c>
      <c r="F44" s="17">
        <v>236434</v>
      </c>
      <c r="G44" s="18">
        <f>IF(AND(F65&lt;&gt;0,236434&lt;&gt;0),IF(100*236434/(F65-0)&lt;0.005,"*",100*236434/(F65-0)),0)</f>
        <v>4.522210346645285</v>
      </c>
    </row>
    <row r="45" spans="1:7" ht="12.75">
      <c r="A45" s="11" t="s">
        <v>127</v>
      </c>
      <c r="B45" s="17">
        <v>10784</v>
      </c>
      <c r="C45" s="17">
        <v>24</v>
      </c>
      <c r="D45" s="17">
        <v>13590</v>
      </c>
      <c r="E45" s="17">
        <v>13614</v>
      </c>
      <c r="F45" s="17">
        <v>13997</v>
      </c>
      <c r="G45" s="18">
        <f>IF(AND(F65&lt;&gt;0,13997&lt;&gt;0),IF(100*13997/(F65-0)&lt;0.005,"*",100*13997/(F65-0)),0)</f>
        <v>0.2677169029073401</v>
      </c>
    </row>
    <row r="46" spans="1:7" ht="12.75">
      <c r="A46" s="11" t="s">
        <v>128</v>
      </c>
      <c r="B46" s="17">
        <v>32378</v>
      </c>
      <c r="C46" s="17">
        <v>71</v>
      </c>
      <c r="D46" s="17">
        <v>40804</v>
      </c>
      <c r="E46" s="17">
        <v>40875</v>
      </c>
      <c r="F46" s="17">
        <v>42024</v>
      </c>
      <c r="G46" s="18">
        <f>IF(AND(F65&lt;&gt;0,42024&lt;&gt;0),IF(100*42024/(F65-0)&lt;0.005,"*",100*42024/(F65-0)),0)</f>
        <v>0.8037818909607818</v>
      </c>
    </row>
    <row r="47" spans="1:7" ht="12.75">
      <c r="A47" s="11" t="s">
        <v>129</v>
      </c>
      <c r="B47" s="17">
        <v>9272</v>
      </c>
      <c r="C47" s="17">
        <v>20</v>
      </c>
      <c r="D47" s="17">
        <v>11685</v>
      </c>
      <c r="E47" s="17">
        <v>11705</v>
      </c>
      <c r="F47" s="17">
        <v>12034</v>
      </c>
      <c r="G47" s="18">
        <f>IF(AND(F65&lt;&gt;0,12034&lt;&gt;0),IF(100*12034/(F65-0)&lt;0.005,"*",100*12034/(F65-0)),0)</f>
        <v>0.23017112306829546</v>
      </c>
    </row>
    <row r="48" spans="1:7" ht="12.75">
      <c r="A48" s="11" t="s">
        <v>130</v>
      </c>
      <c r="B48" s="17">
        <v>69194</v>
      </c>
      <c r="C48" s="17">
        <v>151</v>
      </c>
      <c r="D48" s="17">
        <v>87200</v>
      </c>
      <c r="E48" s="17">
        <v>87351</v>
      </c>
      <c r="F48" s="17">
        <v>89808</v>
      </c>
      <c r="G48" s="18">
        <f>IF(AND(F65&lt;&gt;0,89808&lt;&gt;0),IF(100*89808/(F65-0)&lt;0.005,"*",100*89808/(F65-0)),0)</f>
        <v>1.7177337726871762</v>
      </c>
    </row>
    <row r="49" spans="1:7" ht="12.75">
      <c r="A49" s="11" t="s">
        <v>131</v>
      </c>
      <c r="B49" s="17">
        <v>202979</v>
      </c>
      <c r="C49" s="17">
        <v>444</v>
      </c>
      <c r="D49" s="17">
        <v>255799</v>
      </c>
      <c r="E49" s="17">
        <v>256243</v>
      </c>
      <c r="F49" s="17">
        <v>263450</v>
      </c>
      <c r="G49" s="18">
        <f>IF(AND(F65&lt;&gt;0,263450&lt;&gt;0),IF(100*263450/(F65-0)&lt;0.005,"*",100*263450/(F65-0)),0)</f>
        <v>5.038938206111221</v>
      </c>
    </row>
    <row r="50" spans="1:7" ht="12.75">
      <c r="A50" s="11" t="s">
        <v>132</v>
      </c>
      <c r="B50" s="17">
        <v>16726</v>
      </c>
      <c r="C50" s="17">
        <v>37</v>
      </c>
      <c r="D50" s="17">
        <v>21079</v>
      </c>
      <c r="E50" s="17">
        <v>21116</v>
      </c>
      <c r="F50" s="17">
        <v>21709</v>
      </c>
      <c r="G50" s="18">
        <f>IF(AND(F65&lt;&gt;0,21709&lt;&gt;0),IF(100*21709/(F65-0)&lt;0.005,"*",100*21709/(F65-0)),0)</f>
        <v>0.4152222794324103</v>
      </c>
    </row>
    <row r="51" spans="1:7" ht="12.75">
      <c r="A51" s="11" t="s">
        <v>133</v>
      </c>
      <c r="B51" s="17">
        <v>10940</v>
      </c>
      <c r="C51" s="17">
        <v>24</v>
      </c>
      <c r="D51" s="17">
        <v>13787</v>
      </c>
      <c r="E51" s="17">
        <v>13811</v>
      </c>
      <c r="F51" s="17">
        <v>14199</v>
      </c>
      <c r="G51" s="18">
        <f>IF(AND(F65&lt;&gt;0,14199&lt;&gt;0),IF(100*14199/(F65-0)&lt;0.005,"*",100*14199/(F65-0)),0)</f>
        <v>0.27158050327793976</v>
      </c>
    </row>
    <row r="52" spans="1:7" ht="12.75">
      <c r="A52" s="11" t="s">
        <v>134</v>
      </c>
      <c r="B52" s="17">
        <v>105653</v>
      </c>
      <c r="C52" s="17">
        <v>231</v>
      </c>
      <c r="D52" s="17">
        <v>133147</v>
      </c>
      <c r="E52" s="17">
        <v>133378</v>
      </c>
      <c r="F52" s="17">
        <v>137129</v>
      </c>
      <c r="G52" s="18">
        <f>IF(AND(F65&lt;&gt;0,137129&lt;&gt;0),IF(100*137129/(F65-0)&lt;0.005,"*",100*137129/(F65-0)),0)</f>
        <v>2.622829976336404</v>
      </c>
    </row>
    <row r="53" spans="1:7" ht="12.75">
      <c r="A53" s="11" t="s">
        <v>135</v>
      </c>
      <c r="B53" s="17">
        <v>102309</v>
      </c>
      <c r="C53" s="17">
        <v>224</v>
      </c>
      <c r="D53" s="17">
        <v>128932</v>
      </c>
      <c r="E53" s="17">
        <v>129156</v>
      </c>
      <c r="F53" s="17">
        <v>132789</v>
      </c>
      <c r="G53" s="18">
        <f>IF(AND(F65&lt;&gt;0,132789&lt;&gt;0),IF(100*132789/(F65-0)&lt;0.005,"*",100*132789/(F65-0)),0)</f>
        <v>2.539819948572036</v>
      </c>
    </row>
    <row r="54" spans="1:7" ht="12.75">
      <c r="A54" s="11" t="s">
        <v>136</v>
      </c>
      <c r="B54" s="17">
        <v>17751</v>
      </c>
      <c r="C54" s="17">
        <v>39</v>
      </c>
      <c r="D54" s="17">
        <v>22370</v>
      </c>
      <c r="E54" s="17">
        <v>22409</v>
      </c>
      <c r="F54" s="17">
        <v>23039</v>
      </c>
      <c r="G54" s="18">
        <f>IF(AND(F65&lt;&gt;0,23039&lt;&gt;0),IF(100*23039/(F65-0)&lt;0.005,"*",100*23039/(F65-0)),0)</f>
        <v>0.4406608363279424</v>
      </c>
    </row>
    <row r="55" spans="1:7" ht="12.75">
      <c r="A55" s="11" t="s">
        <v>137</v>
      </c>
      <c r="B55" s="17">
        <v>55115</v>
      </c>
      <c r="C55" s="17">
        <v>121</v>
      </c>
      <c r="D55" s="17">
        <v>69457</v>
      </c>
      <c r="E55" s="17">
        <v>69578</v>
      </c>
      <c r="F55" s="17">
        <v>71535</v>
      </c>
      <c r="G55" s="18">
        <f>IF(AND(F65&lt;&gt;0,71535&lt;&gt;0),IF(100*71535/(F65-0)&lt;0.005,"*",100*71535/(F65-0)),0)</f>
        <v>1.368230953023975</v>
      </c>
    </row>
    <row r="56" spans="1:7" ht="12.75">
      <c r="A56" s="11" t="s">
        <v>138</v>
      </c>
      <c r="B56" s="17">
        <v>6209</v>
      </c>
      <c r="C56" s="17">
        <v>14</v>
      </c>
      <c r="D56" s="17">
        <v>7825</v>
      </c>
      <c r="E56" s="17">
        <v>7839</v>
      </c>
      <c r="F56" s="17">
        <v>8059</v>
      </c>
      <c r="G56" s="18">
        <f>IF(AND(F65&lt;&gt;0,8059&lt;&gt;0),IF(100*8059/(F65-0)&lt;0.005,"*",100*8059/(F65-0)),0)</f>
        <v>0.154142353399318</v>
      </c>
    </row>
    <row r="57" spans="1:7" ht="12.75">
      <c r="A57" s="11" t="s">
        <v>139</v>
      </c>
      <c r="B57" s="17">
        <v>0</v>
      </c>
      <c r="C57" s="17">
        <v>0</v>
      </c>
      <c r="D57" s="17">
        <v>0</v>
      </c>
      <c r="E57" s="17">
        <v>0</v>
      </c>
      <c r="F57" s="17">
        <v>0</v>
      </c>
      <c r="G57" s="18">
        <f>IF(AND(F65&lt;&gt;0,0&lt;&gt;0),IF(100*0/(F65-0)&lt;0.005,"*",100*0/(F65-0)),0)</f>
        <v>0</v>
      </c>
    </row>
    <row r="58" spans="1:7" ht="12.75">
      <c r="A58" s="11" t="s">
        <v>140</v>
      </c>
      <c r="B58" s="17">
        <v>1692</v>
      </c>
      <c r="C58" s="17">
        <v>4</v>
      </c>
      <c r="D58" s="17">
        <v>2132</v>
      </c>
      <c r="E58" s="17">
        <v>2136</v>
      </c>
      <c r="F58" s="17">
        <v>2196</v>
      </c>
      <c r="G58" s="18">
        <f>IF(AND(F65&lt;&gt;0,2196&lt;&gt;0),IF(100*2196/(F65-0)&lt;0.005,"*",100*2196/(F65-0)),0)</f>
        <v>0.042002308979389794</v>
      </c>
    </row>
    <row r="59" spans="1:7" ht="12.75">
      <c r="A59" s="11" t="s">
        <v>141</v>
      </c>
      <c r="B59" s="17">
        <v>0</v>
      </c>
      <c r="C59" s="17">
        <v>0</v>
      </c>
      <c r="D59" s="17">
        <v>0</v>
      </c>
      <c r="E59" s="17">
        <v>0</v>
      </c>
      <c r="F59" s="17">
        <v>0</v>
      </c>
      <c r="G59" s="18">
        <f>IF(AND(F65&lt;&gt;0,0&lt;&gt;0),IF(100*0/(F65-0)&lt;0.005,"*",100*0/(F65-0)),0)</f>
        <v>0</v>
      </c>
    </row>
    <row r="60" spans="1:7" ht="12.75">
      <c r="A60" s="11" t="s">
        <v>142</v>
      </c>
      <c r="B60" s="17">
        <v>0</v>
      </c>
      <c r="C60" s="17">
        <v>0</v>
      </c>
      <c r="D60" s="17">
        <v>0</v>
      </c>
      <c r="E60" s="17">
        <v>0</v>
      </c>
      <c r="F60" s="17">
        <v>0</v>
      </c>
      <c r="G60" s="18">
        <f>IF(AND(F65&lt;&gt;0,0&lt;&gt;0),IF(100*0/(F65-0)&lt;0.005,"*",100*0/(F65-0)),0)</f>
        <v>0</v>
      </c>
    </row>
    <row r="61" spans="1:7" ht="12.75">
      <c r="A61" s="11" t="s">
        <v>143</v>
      </c>
      <c r="B61" s="17">
        <v>0</v>
      </c>
      <c r="C61" s="17">
        <v>0</v>
      </c>
      <c r="D61" s="17">
        <v>0</v>
      </c>
      <c r="E61" s="17">
        <v>0</v>
      </c>
      <c r="F61" s="17">
        <v>0</v>
      </c>
      <c r="G61" s="18">
        <f>IF(AND(F65&lt;&gt;0,0&lt;&gt;0),IF(100*0/(F65-0)&lt;0.005,"*",100*0/(F65-0)),0)</f>
        <v>0</v>
      </c>
    </row>
    <row r="62" spans="1:7" ht="12.75">
      <c r="A62" s="11" t="s">
        <v>144</v>
      </c>
      <c r="B62" s="17">
        <v>5160</v>
      </c>
      <c r="C62" s="17">
        <v>11</v>
      </c>
      <c r="D62" s="17">
        <v>6503</v>
      </c>
      <c r="E62" s="17">
        <v>6514</v>
      </c>
      <c r="F62" s="17">
        <v>6697</v>
      </c>
      <c r="G62" s="18">
        <f>IF(AND(F65&lt;&gt;0,6697&lt;&gt;0),IF(100*6697/(F65-0)&lt;0.005,"*",100*6697/(F65-0)),0)</f>
        <v>0.12809174099953255</v>
      </c>
    </row>
    <row r="63" spans="1:7" ht="12.75">
      <c r="A63" s="11" t="s">
        <v>145</v>
      </c>
      <c r="B63" s="17">
        <v>0</v>
      </c>
      <c r="C63" s="17">
        <v>0</v>
      </c>
      <c r="D63" s="17">
        <v>0</v>
      </c>
      <c r="E63" s="17">
        <v>0</v>
      </c>
      <c r="F63" s="17">
        <v>0</v>
      </c>
      <c r="G63" s="18">
        <f>IF(AND(F65&lt;&gt;0,0&lt;&gt;0),IF(100*0/(F65-0)&lt;0.005,"*",100*0/(F65-0)),0)</f>
        <v>0</v>
      </c>
    </row>
    <row r="64" spans="1:7" ht="12.75">
      <c r="A64" s="11" t="s">
        <v>146</v>
      </c>
      <c r="B64" s="17">
        <v>701734</v>
      </c>
      <c r="C64" s="17">
        <v>0</v>
      </c>
      <c r="D64" s="17">
        <v>0</v>
      </c>
      <c r="E64" s="17">
        <v>0</v>
      </c>
      <c r="F64" s="17">
        <v>0</v>
      </c>
      <c r="G64" s="18">
        <v>0</v>
      </c>
    </row>
    <row r="65" spans="1:7" ht="15" customHeight="1">
      <c r="A65" s="19" t="s">
        <v>87</v>
      </c>
      <c r="B65" s="20">
        <f>45907+10705+71178+37282+986678+42800+53407+13976+19653+89450+102703+19245+8798+109026+53121+20785+19837+54506+62180+14565+69308+59777+168178+70770+23627+42220+11394+15675+24111+8809+148416+34637+350409+96896+8672+109116+44078+77986+182164+10784+32378+9272+69194+202979+16726+10940+105653+102309+17751+55115+6209+0+1692+0+0+0+5160+0+701734+0</f>
        <v>4729941</v>
      </c>
      <c r="C65" s="20">
        <f>101+23+156+82+2160+94+117+31+43+196+225+42+19+239+116+46+43+119+136+32+152+131+368+155+52+92+25+34+53+19+325+76+767+212+19+239+96+171+399+24+71+20+151+444+37+24+231+224+39+121+14+0+4+0+0+0+11+0+0+0</f>
        <v>8820</v>
      </c>
      <c r="D65" s="20">
        <f>57853+13491+89700+46984+1243436+53938+67305+17613+24767+112727+129429+24253+11087+137397+66944+26194+24999+68690+78361+18355+87344+75332+211942+89186+29775+53207+14359+19754+30385+11101+187037+43650+441594+122111+10929+137511+55548+98280+229568+13590+40804+11685+87200+255799+21079+13787+133147+128932+22370+69457+7825+0+2132+0+0+0+6503+0+0+0</f>
        <v>5076446</v>
      </c>
      <c r="E65" s="20">
        <f>SUM(C65:D65)</f>
        <v>5085266</v>
      </c>
      <c r="F65" s="20">
        <f>59584+13894+92383+48389+1280628+55551+69318+18140+25508+116099+133300+24978+11419+141507+68947+26977+25747+70744+80705+18904+89956+77586+218281+91854+30666+54798+14788+20345+31294+11433+192632+44956+454802+125763+11256+141624+57210+101219+236434+13997+42024+12034+89808+263450+21709+14199+137129+132789+23039+71535+8059+0+2196+0+0+0+6697+0+0+0</f>
        <v>5228284</v>
      </c>
      <c r="G65" s="21" t="s">
        <v>147</v>
      </c>
    </row>
    <row r="66" spans="1:7" ht="15" customHeight="1">
      <c r="A66" s="33" t="s">
        <v>148</v>
      </c>
      <c r="B66" s="33"/>
      <c r="C66" s="33"/>
      <c r="D66" s="33"/>
      <c r="E66" s="33"/>
      <c r="F66" s="33"/>
      <c r="G66" s="33"/>
    </row>
    <row r="67" spans="1:7" ht="15" customHeight="1">
      <c r="A67" s="26" t="s">
        <v>149</v>
      </c>
      <c r="B67" s="26"/>
      <c r="C67" s="26"/>
      <c r="D67" s="26"/>
      <c r="E67" s="26"/>
      <c r="F67" s="26"/>
      <c r="G67" s="26"/>
    </row>
  </sheetData>
  <sheetProtection/>
  <mergeCells count="6">
    <mergeCell ref="A67:G67"/>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68"/>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156</v>
      </c>
      <c r="B1" s="10"/>
      <c r="C1" s="10"/>
      <c r="D1" s="10"/>
      <c r="E1" s="10"/>
      <c r="F1" s="10"/>
      <c r="G1" s="12" t="s">
        <v>157</v>
      </c>
    </row>
    <row r="2" spans="1:7" ht="12.75">
      <c r="A2" s="13" t="s">
        <v>158</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221717</v>
      </c>
      <c r="C6" s="17">
        <v>0</v>
      </c>
      <c r="D6" s="17">
        <v>237562</v>
      </c>
      <c r="E6" s="17">
        <v>237562</v>
      </c>
      <c r="F6" s="17">
        <v>241428</v>
      </c>
      <c r="G6" s="18">
        <f>IF(AND(F66&lt;&gt;5000,241428&lt;&gt;0),IF(100*241428/(F66-5000)&lt;0.005,"*",100*241428/(F66-5000)),0)</f>
        <v>1.5723289691394262</v>
      </c>
    </row>
    <row r="7" spans="1:7" ht="12.75">
      <c r="A7" s="11" t="s">
        <v>89</v>
      </c>
      <c r="B7" s="17">
        <v>37335</v>
      </c>
      <c r="C7" s="17">
        <v>0</v>
      </c>
      <c r="D7" s="17">
        <v>41531</v>
      </c>
      <c r="E7" s="17">
        <v>41531</v>
      </c>
      <c r="F7" s="17">
        <v>42330</v>
      </c>
      <c r="G7" s="18">
        <f>IF(AND(F66&lt;&gt;5000,42330&lt;&gt;0),IF(100*42330/(F66-5000)&lt;0.005,"*",100*42330/(F66-5000)),0)</f>
        <v>0.27567923051042925</v>
      </c>
    </row>
    <row r="8" spans="1:7" ht="12.75">
      <c r="A8" s="11" t="s">
        <v>90</v>
      </c>
      <c r="B8" s="17">
        <v>322898</v>
      </c>
      <c r="C8" s="17">
        <v>0</v>
      </c>
      <c r="D8" s="17">
        <v>329711</v>
      </c>
      <c r="E8" s="17">
        <v>329711</v>
      </c>
      <c r="F8" s="17">
        <v>334505</v>
      </c>
      <c r="G8" s="18">
        <f>IF(AND(F66&lt;&gt;5000,334505&lt;&gt;0),IF(100*334505/(F66-5000)&lt;0.005,"*",100*334505/(F66-5000)),0)</f>
        <v>2.178504157852377</v>
      </c>
    </row>
    <row r="9" spans="1:7" ht="12.75">
      <c r="A9" s="11" t="s">
        <v>91</v>
      </c>
      <c r="B9" s="17">
        <v>154447</v>
      </c>
      <c r="C9" s="17">
        <v>0</v>
      </c>
      <c r="D9" s="17">
        <v>156880</v>
      </c>
      <c r="E9" s="17">
        <v>156880</v>
      </c>
      <c r="F9" s="17">
        <v>158298</v>
      </c>
      <c r="G9" s="18">
        <f>IF(AND(F66&lt;&gt;5000,158298&lt;&gt;0),IF(100*158298/(F66-5000)&lt;0.005,"*",100*158298/(F66-5000)),0)</f>
        <v>1.0309348176550892</v>
      </c>
    </row>
    <row r="10" spans="1:7" ht="12.75">
      <c r="A10" s="11" t="s">
        <v>92</v>
      </c>
      <c r="B10" s="17">
        <v>1684685</v>
      </c>
      <c r="C10" s="17">
        <v>0</v>
      </c>
      <c r="D10" s="17">
        <v>1767975</v>
      </c>
      <c r="E10" s="17">
        <v>1767975</v>
      </c>
      <c r="F10" s="17">
        <v>1804240</v>
      </c>
      <c r="G10" s="18">
        <f>IF(AND(F66&lt;&gt;5000,1804240&lt;&gt;0),IF(100*1804240/(F66-5000)&lt;0.005,"*",100*1804240/(F66-5000)),0)</f>
        <v>11.750330613185374</v>
      </c>
    </row>
    <row r="11" spans="1:7" ht="12.75">
      <c r="A11" s="11" t="s">
        <v>93</v>
      </c>
      <c r="B11" s="17">
        <v>150078</v>
      </c>
      <c r="C11" s="17">
        <v>0</v>
      </c>
      <c r="D11" s="17">
        <v>150743</v>
      </c>
      <c r="E11" s="17">
        <v>150743</v>
      </c>
      <c r="F11" s="17">
        <v>153149</v>
      </c>
      <c r="G11" s="18">
        <f>IF(AND(F66&lt;&gt;5000,153149&lt;&gt;0),IF(100*153149/(F66-5000)&lt;0.005,"*",100*153149/(F66-5000)),0)</f>
        <v>0.9974013341233576</v>
      </c>
    </row>
    <row r="12" spans="1:7" ht="12.75">
      <c r="A12" s="11" t="s">
        <v>94</v>
      </c>
      <c r="B12" s="17">
        <v>116022</v>
      </c>
      <c r="C12" s="17">
        <v>0</v>
      </c>
      <c r="D12" s="17">
        <v>123279</v>
      </c>
      <c r="E12" s="17">
        <v>123279</v>
      </c>
      <c r="F12" s="17">
        <v>126128</v>
      </c>
      <c r="G12" s="18">
        <f>IF(AND(F66&lt;&gt;5000,126128&lt;&gt;0),IF(100*126128/(F66-5000)&lt;0.005,"*",100*126128/(F66-5000)),0)</f>
        <v>0.8214238125636527</v>
      </c>
    </row>
    <row r="13" spans="1:7" ht="12.75">
      <c r="A13" s="11" t="s">
        <v>95</v>
      </c>
      <c r="B13" s="17">
        <v>44353</v>
      </c>
      <c r="C13" s="17">
        <v>0</v>
      </c>
      <c r="D13" s="17">
        <v>47293</v>
      </c>
      <c r="E13" s="17">
        <v>47293</v>
      </c>
      <c r="F13" s="17">
        <v>48311</v>
      </c>
      <c r="G13" s="18">
        <f>IF(AND(F66&lt;&gt;5000,48311&lt;&gt;0),IF(100*48311/(F66-5000)&lt;0.005,"*",100*48311/(F66-5000)),0)</f>
        <v>0.3146312143914327</v>
      </c>
    </row>
    <row r="14" spans="1:7" ht="12.75">
      <c r="A14" s="11" t="s">
        <v>96</v>
      </c>
      <c r="B14" s="17">
        <v>42820</v>
      </c>
      <c r="C14" s="17">
        <v>0</v>
      </c>
      <c r="D14" s="17">
        <v>44427</v>
      </c>
      <c r="E14" s="17">
        <v>44427</v>
      </c>
      <c r="F14" s="17">
        <v>45358</v>
      </c>
      <c r="G14" s="18">
        <f>IF(AND(F66&lt;&gt;5000,45358&lt;&gt;0),IF(100*45358/(F66-5000)&lt;0.005,"*",100*45358/(F66-5000)),0)</f>
        <v>0.29539944572388493</v>
      </c>
    </row>
    <row r="15" spans="1:7" ht="12.75">
      <c r="A15" s="11" t="s">
        <v>97</v>
      </c>
      <c r="B15" s="17">
        <v>775555</v>
      </c>
      <c r="C15" s="17">
        <v>0</v>
      </c>
      <c r="D15" s="17">
        <v>814621</v>
      </c>
      <c r="E15" s="17">
        <v>814621</v>
      </c>
      <c r="F15" s="17">
        <v>834842</v>
      </c>
      <c r="G15" s="18">
        <f>IF(AND(F66&lt;&gt;5000,834842&lt;&gt;0),IF(100*834842/(F66-5000)&lt;0.005,"*",100*834842/(F66-5000)),0)</f>
        <v>5.437009217051448</v>
      </c>
    </row>
    <row r="16" spans="1:7" ht="12.75">
      <c r="A16" s="11" t="s">
        <v>98</v>
      </c>
      <c r="B16" s="17">
        <v>499203</v>
      </c>
      <c r="C16" s="17">
        <v>0</v>
      </c>
      <c r="D16" s="17">
        <v>523558</v>
      </c>
      <c r="E16" s="17">
        <v>523558</v>
      </c>
      <c r="F16" s="17">
        <v>531892</v>
      </c>
      <c r="G16" s="18">
        <f>IF(AND(F66&lt;&gt;5000,531892&lt;&gt;0),IF(100*531892/(F66-5000)&lt;0.005,"*",100*531892/(F66-5000)),0)</f>
        <v>3.464010802614062</v>
      </c>
    </row>
    <row r="17" spans="1:7" ht="12.75">
      <c r="A17" s="11" t="s">
        <v>99</v>
      </c>
      <c r="B17" s="17">
        <v>47116</v>
      </c>
      <c r="C17" s="17">
        <v>0</v>
      </c>
      <c r="D17" s="17">
        <v>53315</v>
      </c>
      <c r="E17" s="17">
        <v>53315</v>
      </c>
      <c r="F17" s="17">
        <v>54757</v>
      </c>
      <c r="G17" s="18">
        <f>IF(AND(F66&lt;&gt;5000,54757&lt;&gt;0),IF(100*54757/(F66-5000)&lt;0.005,"*",100*54757/(F66-5000)),0)</f>
        <v>0.3566115668570653</v>
      </c>
    </row>
    <row r="18" spans="1:7" ht="12.75">
      <c r="A18" s="11" t="s">
        <v>100</v>
      </c>
      <c r="B18" s="17">
        <v>57316</v>
      </c>
      <c r="C18" s="17">
        <v>0</v>
      </c>
      <c r="D18" s="17">
        <v>58225</v>
      </c>
      <c r="E18" s="17">
        <v>58225</v>
      </c>
      <c r="F18" s="17">
        <v>59099</v>
      </c>
      <c r="G18" s="18">
        <f>IF(AND(F66&lt;&gt;5000,59099&lt;&gt;0),IF(100*59099/(F66-5000)&lt;0.005,"*",100*59099/(F66-5000)),0)</f>
        <v>0.3848893655548277</v>
      </c>
    </row>
    <row r="19" spans="1:7" ht="12.75">
      <c r="A19" s="11" t="s">
        <v>101</v>
      </c>
      <c r="B19" s="17">
        <v>663984</v>
      </c>
      <c r="C19" s="17">
        <v>0</v>
      </c>
      <c r="D19" s="17">
        <v>668430</v>
      </c>
      <c r="E19" s="17">
        <v>668430</v>
      </c>
      <c r="F19" s="17">
        <v>683088</v>
      </c>
      <c r="G19" s="18">
        <f>IF(AND(F66&lt;&gt;5000,683088&lt;&gt;0),IF(100*683088/(F66-5000)&lt;0.005,"*",100*683088/(F66-5000)),0)</f>
        <v>4.4486929886819775</v>
      </c>
    </row>
    <row r="20" spans="1:7" ht="12.75">
      <c r="A20" s="11" t="s">
        <v>102</v>
      </c>
      <c r="B20" s="17">
        <v>258377</v>
      </c>
      <c r="C20" s="17">
        <v>0</v>
      </c>
      <c r="D20" s="17">
        <v>256985</v>
      </c>
      <c r="E20" s="17">
        <v>256985</v>
      </c>
      <c r="F20" s="17">
        <v>259477</v>
      </c>
      <c r="G20" s="18">
        <f>IF(AND(F66&lt;&gt;5000,259477&lt;&gt;0),IF(100*259477/(F66-5000)&lt;0.005,"*",100*259477/(F66-5000)),0)</f>
        <v>1.6898752585673198</v>
      </c>
    </row>
    <row r="21" spans="1:7" ht="12.75">
      <c r="A21" s="11" t="s">
        <v>103</v>
      </c>
      <c r="B21" s="17">
        <v>91238</v>
      </c>
      <c r="C21" s="17">
        <v>0</v>
      </c>
      <c r="D21" s="17">
        <v>95364</v>
      </c>
      <c r="E21" s="17">
        <v>95364</v>
      </c>
      <c r="F21" s="17">
        <v>97035</v>
      </c>
      <c r="G21" s="18">
        <f>IF(AND(F66&lt;&gt;5000,97035&lt;&gt;0),IF(100*97035/(F66-5000)&lt;0.005,"*",100*97035/(F66-5000)),0)</f>
        <v>0.6319521410956651</v>
      </c>
    </row>
    <row r="22" spans="1:7" ht="12.75">
      <c r="A22" s="11" t="s">
        <v>104</v>
      </c>
      <c r="B22" s="17">
        <v>104106</v>
      </c>
      <c r="C22" s="17">
        <v>0</v>
      </c>
      <c r="D22" s="17">
        <v>109869</v>
      </c>
      <c r="E22" s="17">
        <v>109869</v>
      </c>
      <c r="F22" s="17">
        <v>111830</v>
      </c>
      <c r="G22" s="18">
        <f>IF(AND(F66&lt;&gt;5000,111830&lt;&gt;0),IF(100*111830/(F66-5000)&lt;0.005,"*",100*111830/(F66-5000)),0)</f>
        <v>0.7283063630517671</v>
      </c>
    </row>
    <row r="23" spans="1:7" ht="12.75">
      <c r="A23" s="11" t="s">
        <v>105</v>
      </c>
      <c r="B23" s="17">
        <v>211846</v>
      </c>
      <c r="C23" s="17">
        <v>0</v>
      </c>
      <c r="D23" s="17">
        <v>215394</v>
      </c>
      <c r="E23" s="17">
        <v>215394</v>
      </c>
      <c r="F23" s="17">
        <v>218503</v>
      </c>
      <c r="G23" s="18">
        <f>IF(AND(F66&lt;&gt;5000,218503&lt;&gt;0),IF(100*218503/(F66-5000)&lt;0.005,"*",100*218503/(F66-5000)),0)</f>
        <v>1.4230271416069058</v>
      </c>
    </row>
    <row r="24" spans="1:7" ht="12.75">
      <c r="A24" s="11" t="s">
        <v>106</v>
      </c>
      <c r="B24" s="17">
        <v>284165</v>
      </c>
      <c r="C24" s="17">
        <v>0</v>
      </c>
      <c r="D24" s="17">
        <v>289759</v>
      </c>
      <c r="E24" s="17">
        <v>289759</v>
      </c>
      <c r="F24" s="17">
        <v>294973</v>
      </c>
      <c r="G24" s="18">
        <f>IF(AND(F66&lt;&gt;5000,294973&lt;&gt;0),IF(100*294973/(F66-5000)&lt;0.005,"*",100*294973/(F66-5000)),0)</f>
        <v>1.9210472398146197</v>
      </c>
    </row>
    <row r="25" spans="1:7" ht="12.75">
      <c r="A25" s="11" t="s">
        <v>107</v>
      </c>
      <c r="B25" s="17">
        <v>50093</v>
      </c>
      <c r="C25" s="17">
        <v>0</v>
      </c>
      <c r="D25" s="17">
        <v>52619</v>
      </c>
      <c r="E25" s="17">
        <v>52619</v>
      </c>
      <c r="F25" s="17">
        <v>53643</v>
      </c>
      <c r="G25" s="18">
        <f>IF(AND(F66&lt;&gt;5000,53643&lt;&gt;0),IF(100*53643/(F66-5000)&lt;0.005,"*",100*53643/(F66-5000)),0)</f>
        <v>0.34935650749517966</v>
      </c>
    </row>
    <row r="26" spans="1:7" ht="12.75">
      <c r="A26" s="11" t="s">
        <v>108</v>
      </c>
      <c r="B26" s="17">
        <v>195893</v>
      </c>
      <c r="C26" s="17">
        <v>0</v>
      </c>
      <c r="D26" s="17">
        <v>220167</v>
      </c>
      <c r="E26" s="17">
        <v>220167</v>
      </c>
      <c r="F26" s="17">
        <v>226071</v>
      </c>
      <c r="G26" s="18">
        <f>IF(AND(F66&lt;&gt;5000,226071&lt;&gt;0),IF(100*226071/(F66-5000)&lt;0.005,"*",100*226071/(F66-5000)),0)</f>
        <v>1.4723146543993209</v>
      </c>
    </row>
    <row r="27" spans="1:7" ht="12.75">
      <c r="A27" s="11" t="s">
        <v>109</v>
      </c>
      <c r="B27" s="17">
        <v>231804</v>
      </c>
      <c r="C27" s="17">
        <v>0</v>
      </c>
      <c r="D27" s="17">
        <v>232921</v>
      </c>
      <c r="E27" s="17">
        <v>232921</v>
      </c>
      <c r="F27" s="17">
        <v>235629</v>
      </c>
      <c r="G27" s="18">
        <f>IF(AND(F66&lt;&gt;5000,235629&lt;&gt;0),IF(100*235629/(F66-5000)&lt;0.005,"*",100*235629/(F66-5000)),0)</f>
        <v>1.534562282209826</v>
      </c>
    </row>
    <row r="28" spans="1:7" ht="12.75">
      <c r="A28" s="11" t="s">
        <v>110</v>
      </c>
      <c r="B28" s="17">
        <v>498675</v>
      </c>
      <c r="C28" s="17">
        <v>0</v>
      </c>
      <c r="D28" s="17">
        <v>491157</v>
      </c>
      <c r="E28" s="17">
        <v>491157</v>
      </c>
      <c r="F28" s="17">
        <v>490958</v>
      </c>
      <c r="G28" s="18">
        <f>IF(AND(F66&lt;&gt;5000,490958&lt;&gt;0),IF(100*490958/(F66-5000)&lt;0.005,"*",100*490958/(F66-5000)),0)</f>
        <v>3.197423190478132</v>
      </c>
    </row>
    <row r="29" spans="1:7" ht="12.75">
      <c r="A29" s="11" t="s">
        <v>111</v>
      </c>
      <c r="B29" s="17">
        <v>148615</v>
      </c>
      <c r="C29" s="17">
        <v>0</v>
      </c>
      <c r="D29" s="17">
        <v>163704</v>
      </c>
      <c r="E29" s="17">
        <v>163704</v>
      </c>
      <c r="F29" s="17">
        <v>167409</v>
      </c>
      <c r="G29" s="18">
        <f>IF(AND(F66&lt;&gt;5000,167409&lt;&gt;0),IF(100*167409/(F66-5000)&lt;0.005,"*",100*167409/(F66-5000)),0)</f>
        <v>1.0902713040519831</v>
      </c>
    </row>
    <row r="30" spans="1:7" ht="12.75">
      <c r="A30" s="11" t="s">
        <v>112</v>
      </c>
      <c r="B30" s="17">
        <v>190695</v>
      </c>
      <c r="C30" s="17">
        <v>0</v>
      </c>
      <c r="D30" s="17">
        <v>185493</v>
      </c>
      <c r="E30" s="17">
        <v>185493</v>
      </c>
      <c r="F30" s="17">
        <v>184360</v>
      </c>
      <c r="G30" s="18">
        <f>IF(AND(F66&lt;&gt;5000,184360&lt;&gt;0),IF(100*184360/(F66-5000)&lt;0.005,"*",100*184360/(F66-5000)),0)</f>
        <v>1.200666736047785</v>
      </c>
    </row>
    <row r="31" spans="1:7" ht="12.75">
      <c r="A31" s="11" t="s">
        <v>113</v>
      </c>
      <c r="B31" s="17">
        <v>240760</v>
      </c>
      <c r="C31" s="17">
        <v>0</v>
      </c>
      <c r="D31" s="17">
        <v>239214</v>
      </c>
      <c r="E31" s="17">
        <v>239214</v>
      </c>
      <c r="F31" s="17">
        <v>241555</v>
      </c>
      <c r="G31" s="18">
        <f>IF(AND(F66&lt;&gt;5000,241555&lt;&gt;0),IF(100*241555/(F66-5000)&lt;0.005,"*",100*241555/(F66-5000)),0)</f>
        <v>1.5731560719571636</v>
      </c>
    </row>
    <row r="32" spans="1:7" ht="12.75">
      <c r="A32" s="11" t="s">
        <v>114</v>
      </c>
      <c r="B32" s="17">
        <v>45469</v>
      </c>
      <c r="C32" s="17">
        <v>0</v>
      </c>
      <c r="D32" s="17">
        <v>46174</v>
      </c>
      <c r="E32" s="17">
        <v>46174</v>
      </c>
      <c r="F32" s="17">
        <v>46930</v>
      </c>
      <c r="G32" s="18">
        <f>IF(AND(F66&lt;&gt;5000,46930&lt;&gt;0),IF(100*46930/(F66-5000)&lt;0.005,"*",100*46930/(F66-5000)),0)</f>
        <v>0.3056372853261149</v>
      </c>
    </row>
    <row r="33" spans="1:7" ht="12.75">
      <c r="A33" s="11" t="s">
        <v>115</v>
      </c>
      <c r="B33" s="17">
        <v>68852</v>
      </c>
      <c r="C33" s="17">
        <v>0</v>
      </c>
      <c r="D33" s="17">
        <v>70768</v>
      </c>
      <c r="E33" s="17">
        <v>70768</v>
      </c>
      <c r="F33" s="17">
        <v>72053</v>
      </c>
      <c r="G33" s="18">
        <f>IF(AND(F66&lt;&gt;5000,72053&lt;&gt;0),IF(100*72053/(F66-5000)&lt;0.005,"*",100*72053/(F66-5000)),0)</f>
        <v>0.4692538529640434</v>
      </c>
    </row>
    <row r="34" spans="1:7" ht="12.75">
      <c r="A34" s="11" t="s">
        <v>116</v>
      </c>
      <c r="B34" s="17">
        <v>116721</v>
      </c>
      <c r="C34" s="17">
        <v>0</v>
      </c>
      <c r="D34" s="17">
        <v>120140</v>
      </c>
      <c r="E34" s="17">
        <v>120140</v>
      </c>
      <c r="F34" s="17">
        <v>123401</v>
      </c>
      <c r="G34" s="18">
        <f>IF(AND(F66&lt;&gt;5000,123401&lt;&gt;0),IF(100*123401/(F66-5000)&lt;0.005,"*",100*123401/(F66-5000)),0)</f>
        <v>0.8036638961544408</v>
      </c>
    </row>
    <row r="35" spans="1:7" ht="12.75">
      <c r="A35" s="11" t="s">
        <v>117</v>
      </c>
      <c r="B35" s="17">
        <v>39727</v>
      </c>
      <c r="C35" s="17">
        <v>0</v>
      </c>
      <c r="D35" s="17">
        <v>43177</v>
      </c>
      <c r="E35" s="17">
        <v>43177</v>
      </c>
      <c r="F35" s="17">
        <v>43875</v>
      </c>
      <c r="G35" s="18">
        <f>IF(AND(F66&lt;&gt;5000,43875&lt;&gt;0),IF(100*43875/(F66-5000)&lt;0.005,"*",100*43875/(F66-5000)),0)</f>
        <v>0.2857412293561324</v>
      </c>
    </row>
    <row r="36" spans="1:7" ht="12.75">
      <c r="A36" s="11" t="s">
        <v>118</v>
      </c>
      <c r="B36" s="17">
        <v>330357</v>
      </c>
      <c r="C36" s="17">
        <v>0</v>
      </c>
      <c r="D36" s="17">
        <v>342651</v>
      </c>
      <c r="E36" s="17">
        <v>342651</v>
      </c>
      <c r="F36" s="17">
        <v>349558</v>
      </c>
      <c r="G36" s="18">
        <f>IF(AND(F66&lt;&gt;5000,349558&lt;&gt;0),IF(100*349558/(F66-5000)&lt;0.005,"*",100*349558/(F66-5000)),0)</f>
        <v>2.2765386359264026</v>
      </c>
    </row>
    <row r="37" spans="1:7" ht="12.75">
      <c r="A37" s="11" t="s">
        <v>119</v>
      </c>
      <c r="B37" s="17">
        <v>116229</v>
      </c>
      <c r="C37" s="17">
        <v>0</v>
      </c>
      <c r="D37" s="17">
        <v>113497</v>
      </c>
      <c r="E37" s="17">
        <v>113497</v>
      </c>
      <c r="F37" s="17">
        <v>114647</v>
      </c>
      <c r="G37" s="18">
        <f>IF(AND(F66&lt;&gt;5000,114647&lt;&gt;0),IF(100*114647/(F66-5000)&lt;0.005,"*",100*114647/(F66-5000)),0)</f>
        <v>0.7466524153160685</v>
      </c>
    </row>
    <row r="38" spans="1:7" ht="12.75">
      <c r="A38" s="11" t="s">
        <v>120</v>
      </c>
      <c r="B38" s="17">
        <v>1104439</v>
      </c>
      <c r="C38" s="17">
        <v>0</v>
      </c>
      <c r="D38" s="17">
        <v>1141389</v>
      </c>
      <c r="E38" s="17">
        <v>1141389</v>
      </c>
      <c r="F38" s="17">
        <v>1167541</v>
      </c>
      <c r="G38" s="18">
        <f>IF(AND(F66&lt;&gt;5000,1167541&lt;&gt;0),IF(100*1167541/(F66-5000)&lt;0.005,"*",100*1167541/(F66-5000)),0)</f>
        <v>7.603751582078362</v>
      </c>
    </row>
    <row r="39" spans="1:7" ht="12.75">
      <c r="A39" s="11" t="s">
        <v>121</v>
      </c>
      <c r="B39" s="17">
        <v>417089</v>
      </c>
      <c r="C39" s="17">
        <v>0</v>
      </c>
      <c r="D39" s="17">
        <v>429022</v>
      </c>
      <c r="E39" s="17">
        <v>429022</v>
      </c>
      <c r="F39" s="17">
        <v>437352</v>
      </c>
      <c r="G39" s="18">
        <f>IF(AND(F66&lt;&gt;5000,437352&lt;&gt;0),IF(100*437352/(F66-5000)&lt;0.005,"*",100*437352/(F66-5000)),0)</f>
        <v>2.8483076499456</v>
      </c>
    </row>
    <row r="40" spans="1:7" ht="12.75">
      <c r="A40" s="11" t="s">
        <v>122</v>
      </c>
      <c r="B40" s="17">
        <v>33486</v>
      </c>
      <c r="C40" s="17">
        <v>0</v>
      </c>
      <c r="D40" s="17">
        <v>36422</v>
      </c>
      <c r="E40" s="17">
        <v>36422</v>
      </c>
      <c r="F40" s="17">
        <v>37140</v>
      </c>
      <c r="G40" s="18">
        <f>IF(AND(F66&lt;&gt;5000,37140&lt;&gt;0),IF(100*37140/(F66-5000)&lt;0.005,"*",100*37140/(F66-5000)),0)</f>
        <v>0.2418787295336013</v>
      </c>
    </row>
    <row r="41" spans="1:7" ht="12.75">
      <c r="A41" s="11" t="s">
        <v>123</v>
      </c>
      <c r="B41" s="17">
        <v>558321</v>
      </c>
      <c r="C41" s="17">
        <v>0</v>
      </c>
      <c r="D41" s="17">
        <v>575323</v>
      </c>
      <c r="E41" s="17">
        <v>575323</v>
      </c>
      <c r="F41" s="17">
        <v>583822</v>
      </c>
      <c r="G41" s="18">
        <f>IF(AND(F66&lt;&gt;5000,583822&lt;&gt;0),IF(100*583822/(F66-5000)&lt;0.005,"*",100*583822/(F66-5000)),0)</f>
        <v>3.8022111910007044</v>
      </c>
    </row>
    <row r="42" spans="1:7" ht="12.75">
      <c r="A42" s="11" t="s">
        <v>124</v>
      </c>
      <c r="B42" s="17">
        <v>156295</v>
      </c>
      <c r="C42" s="17">
        <v>0</v>
      </c>
      <c r="D42" s="17">
        <v>161342</v>
      </c>
      <c r="E42" s="17">
        <v>161342</v>
      </c>
      <c r="F42" s="17">
        <v>163771</v>
      </c>
      <c r="G42" s="18">
        <f>IF(AND(F66&lt;&gt;5000,163771&lt;&gt;0),IF(100*163771/(F66-5000)&lt;0.005,"*",100*163771/(F66-5000)),0)</f>
        <v>1.0665783902651431</v>
      </c>
    </row>
    <row r="43" spans="1:7" ht="12.75">
      <c r="A43" s="11" t="s">
        <v>125</v>
      </c>
      <c r="B43" s="17">
        <v>140325</v>
      </c>
      <c r="C43" s="17">
        <v>0</v>
      </c>
      <c r="D43" s="17">
        <v>146542</v>
      </c>
      <c r="E43" s="17">
        <v>146542</v>
      </c>
      <c r="F43" s="17">
        <v>148581</v>
      </c>
      <c r="G43" s="18">
        <f>IF(AND(F66&lt;&gt;5000,148581&lt;&gt;0),IF(100*148581/(F66-5000)&lt;0.005,"*",100*148581/(F66-5000)),0)</f>
        <v>0.9676516831672594</v>
      </c>
    </row>
    <row r="44" spans="1:7" ht="12.75">
      <c r="A44" s="11" t="s">
        <v>126</v>
      </c>
      <c r="B44" s="17">
        <v>544123</v>
      </c>
      <c r="C44" s="17">
        <v>0</v>
      </c>
      <c r="D44" s="17">
        <v>578591</v>
      </c>
      <c r="E44" s="17">
        <v>578591</v>
      </c>
      <c r="F44" s="17">
        <v>589882</v>
      </c>
      <c r="G44" s="18">
        <f>IF(AND(F66&lt;&gt;5000,589882&lt;&gt;0),IF(100*589882/(F66-5000)&lt;0.005,"*",100*589882/(F66-5000)),0)</f>
        <v>3.8416776719100643</v>
      </c>
    </row>
    <row r="45" spans="1:7" ht="12.75">
      <c r="A45" s="11" t="s">
        <v>127</v>
      </c>
      <c r="B45" s="17">
        <v>49345</v>
      </c>
      <c r="C45" s="17">
        <v>0</v>
      </c>
      <c r="D45" s="17">
        <v>50491</v>
      </c>
      <c r="E45" s="17">
        <v>50491</v>
      </c>
      <c r="F45" s="17">
        <v>51477</v>
      </c>
      <c r="G45" s="18">
        <f>IF(AND(F66&lt;&gt;5000,51477&lt;&gt;0),IF(100*51477/(F66-5000)&lt;0.005,"*",100*51477/(F66-5000)),0)</f>
        <v>0.335250171249359</v>
      </c>
    </row>
    <row r="46" spans="1:7" ht="12.75">
      <c r="A46" s="11" t="s">
        <v>128</v>
      </c>
      <c r="B46" s="17">
        <v>225766</v>
      </c>
      <c r="C46" s="17">
        <v>0</v>
      </c>
      <c r="D46" s="17">
        <v>239397</v>
      </c>
      <c r="E46" s="17">
        <v>239397</v>
      </c>
      <c r="F46" s="17">
        <v>245090</v>
      </c>
      <c r="G46" s="18">
        <f>IF(AND(F66&lt;&gt;5000,245090&lt;&gt;0),IF(100*245090/(F66-5000)&lt;0.005,"*",100*245090/(F66-5000)),0)</f>
        <v>1.596178185820957</v>
      </c>
    </row>
    <row r="47" spans="1:7" ht="12.75">
      <c r="A47" s="11" t="s">
        <v>129</v>
      </c>
      <c r="B47" s="17">
        <v>43470</v>
      </c>
      <c r="C47" s="17">
        <v>0</v>
      </c>
      <c r="D47" s="17">
        <v>44723</v>
      </c>
      <c r="E47" s="17">
        <v>44723</v>
      </c>
      <c r="F47" s="17">
        <v>45624</v>
      </c>
      <c r="G47" s="18">
        <f>IF(AND(F66&lt;&gt;5000,45624&lt;&gt;0),IF(100*45624/(F66-5000)&lt;0.005,"*",100*45624/(F66-5000)),0)</f>
        <v>0.29713180280670504</v>
      </c>
    </row>
    <row r="48" spans="1:7" ht="12.75">
      <c r="A48" s="11" t="s">
        <v>130</v>
      </c>
      <c r="B48" s="17">
        <v>283710</v>
      </c>
      <c r="C48" s="17">
        <v>0</v>
      </c>
      <c r="D48" s="17">
        <v>301933</v>
      </c>
      <c r="E48" s="17">
        <v>301933</v>
      </c>
      <c r="F48" s="17">
        <v>308340</v>
      </c>
      <c r="G48" s="18">
        <f>IF(AND(F66&lt;&gt;5000,308340&lt;&gt;0),IF(100*308340/(F66-5000)&lt;0.005,"*",100*308340/(F66-5000)),0)</f>
        <v>2.008101439536635</v>
      </c>
    </row>
    <row r="49" spans="1:7" ht="12.75">
      <c r="A49" s="11" t="s">
        <v>131</v>
      </c>
      <c r="B49" s="17">
        <v>1320732</v>
      </c>
      <c r="C49" s="17">
        <v>0</v>
      </c>
      <c r="D49" s="17">
        <v>1378923</v>
      </c>
      <c r="E49" s="17">
        <v>1378923</v>
      </c>
      <c r="F49" s="17">
        <v>1406928</v>
      </c>
      <c r="G49" s="18">
        <f>IF(AND(F66&lt;&gt;5000,1406928&lt;&gt;0),IF(100*1406928/(F66-5000)&lt;0.005,"*",100*1406928/(F66-5000)),0)</f>
        <v>9.16278829254848</v>
      </c>
    </row>
    <row r="50" spans="1:7" ht="12.75">
      <c r="A50" s="11" t="s">
        <v>132</v>
      </c>
      <c r="B50" s="17">
        <v>87212</v>
      </c>
      <c r="C50" s="17">
        <v>0</v>
      </c>
      <c r="D50" s="17">
        <v>88043</v>
      </c>
      <c r="E50" s="17">
        <v>88043</v>
      </c>
      <c r="F50" s="17">
        <v>90251</v>
      </c>
      <c r="G50" s="18">
        <f>IF(AND(F66&lt;&gt;5000,90251&lt;&gt;0),IF(100*90251/(F66-5000)&lt;0.005,"*",100*90251/(F66-5000)),0)</f>
        <v>0.5877705228631408</v>
      </c>
    </row>
    <row r="51" spans="1:7" ht="12.75">
      <c r="A51" s="11" t="s">
        <v>133</v>
      </c>
      <c r="B51" s="17">
        <v>33196</v>
      </c>
      <c r="C51" s="17">
        <v>0</v>
      </c>
      <c r="D51" s="17">
        <v>35249</v>
      </c>
      <c r="E51" s="17">
        <v>35249</v>
      </c>
      <c r="F51" s="17">
        <v>35938</v>
      </c>
      <c r="G51" s="18">
        <f>IF(AND(F66&lt;&gt;5000,35938&lt;&gt;0),IF(100*35938/(F66-5000)&lt;0.005,"*",100*35938/(F66-5000)),0)</f>
        <v>0.23405055955785037</v>
      </c>
    </row>
    <row r="52" spans="1:7" ht="12.75">
      <c r="A52" s="11" t="s">
        <v>134</v>
      </c>
      <c r="B52" s="17">
        <v>243580</v>
      </c>
      <c r="C52" s="17">
        <v>0</v>
      </c>
      <c r="D52" s="17">
        <v>262991</v>
      </c>
      <c r="E52" s="17">
        <v>262991</v>
      </c>
      <c r="F52" s="17">
        <v>268880</v>
      </c>
      <c r="G52" s="18">
        <f>IF(AND(F66&lt;&gt;5000,268880&lt;&gt;0),IF(100*268880/(F66-5000)&lt;0.005,"*",100*268880/(F66-5000)),0)</f>
        <v>1.7511134301829487</v>
      </c>
    </row>
    <row r="53" spans="1:7" ht="12.75">
      <c r="A53" s="11" t="s">
        <v>135</v>
      </c>
      <c r="B53" s="17">
        <v>230248</v>
      </c>
      <c r="C53" s="17">
        <v>0</v>
      </c>
      <c r="D53" s="17">
        <v>230130</v>
      </c>
      <c r="E53" s="17">
        <v>230130</v>
      </c>
      <c r="F53" s="17">
        <v>233681</v>
      </c>
      <c r="G53" s="18">
        <f>IF(AND(F66&lt;&gt;5000,233681&lt;&gt;0),IF(100*233681/(F66-5000)&lt;0.005,"*",100*233681/(F66-5000)),0)</f>
        <v>1.5218756972574443</v>
      </c>
    </row>
    <row r="54" spans="1:7" ht="12.75">
      <c r="A54" s="11" t="s">
        <v>136</v>
      </c>
      <c r="B54" s="17">
        <v>89240</v>
      </c>
      <c r="C54" s="17">
        <v>0</v>
      </c>
      <c r="D54" s="17">
        <v>89484</v>
      </c>
      <c r="E54" s="17">
        <v>89484</v>
      </c>
      <c r="F54" s="17">
        <v>90658</v>
      </c>
      <c r="G54" s="18">
        <f>IF(AND(F66&lt;&gt;5000,90658&lt;&gt;0),IF(100*90658/(F66-5000)&lt;0.005,"*",100*90658/(F66-5000)),0)</f>
        <v>0.5904211594522678</v>
      </c>
    </row>
    <row r="55" spans="1:7" ht="12.75">
      <c r="A55" s="11" t="s">
        <v>137</v>
      </c>
      <c r="B55" s="17">
        <v>208477</v>
      </c>
      <c r="C55" s="17">
        <v>0</v>
      </c>
      <c r="D55" s="17">
        <v>216411</v>
      </c>
      <c r="E55" s="17">
        <v>216411</v>
      </c>
      <c r="F55" s="17">
        <v>221095</v>
      </c>
      <c r="G55" s="18">
        <f>IF(AND(F66&lt;&gt;5000,221095&lt;&gt;0),IF(100*221095/(F66-5000)&lt;0.005,"*",100*221095/(F66-5000)),0)</f>
        <v>1.4399078542334833</v>
      </c>
    </row>
    <row r="56" spans="1:7" ht="12.75">
      <c r="A56" s="11" t="s">
        <v>138</v>
      </c>
      <c r="B56" s="17">
        <v>33060</v>
      </c>
      <c r="C56" s="17">
        <v>0</v>
      </c>
      <c r="D56" s="17">
        <v>34661</v>
      </c>
      <c r="E56" s="17">
        <v>34661</v>
      </c>
      <c r="F56" s="17">
        <v>35349</v>
      </c>
      <c r="G56" s="18">
        <f>IF(AND(F66&lt;&gt;5000,35349&lt;&gt;0),IF(100*35349/(F66-5000)&lt;0.005,"*",100*35349/(F66-5000)),0)</f>
        <v>0.23021462601732018</v>
      </c>
    </row>
    <row r="57" spans="1:7" ht="12.75">
      <c r="A57" s="11" t="s">
        <v>139</v>
      </c>
      <c r="B57" s="17">
        <v>10321</v>
      </c>
      <c r="C57" s="17">
        <v>0</v>
      </c>
      <c r="D57" s="17">
        <v>11262</v>
      </c>
      <c r="E57" s="17">
        <v>11262</v>
      </c>
      <c r="F57" s="17">
        <v>18608</v>
      </c>
      <c r="G57" s="18">
        <f>IF(AND(F66&lt;&gt;5000,18608&lt;&gt;0),IF(100*18608/(F66-5000)&lt;0.005,"*",100*18608/(F66-5000)),0)</f>
        <v>0.12118684435006065</v>
      </c>
    </row>
    <row r="58" spans="1:7" ht="12.75">
      <c r="A58" s="11" t="s">
        <v>140</v>
      </c>
      <c r="B58" s="17">
        <v>15424</v>
      </c>
      <c r="C58" s="17">
        <v>0</v>
      </c>
      <c r="D58" s="17">
        <v>16528</v>
      </c>
      <c r="E58" s="17">
        <v>16528</v>
      </c>
      <c r="F58" s="17">
        <v>20162</v>
      </c>
      <c r="G58" s="18">
        <f>IF(AND(F66&lt;&gt;5000,20162&lt;&gt;0),IF(100*20162/(F66-5000)&lt;0.005,"*",100*20162/(F66-5000)),0)</f>
        <v>0.13130745678127273</v>
      </c>
    </row>
    <row r="59" spans="1:7" ht="12.75">
      <c r="A59" s="11" t="s">
        <v>141</v>
      </c>
      <c r="B59" s="17">
        <v>6595</v>
      </c>
      <c r="C59" s="17">
        <v>0</v>
      </c>
      <c r="D59" s="17">
        <v>6807</v>
      </c>
      <c r="E59" s="17">
        <v>6807</v>
      </c>
      <c r="F59" s="17">
        <v>11247</v>
      </c>
      <c r="G59" s="18">
        <f>IF(AND(F66&lt;&gt;5000,11247&lt;&gt;0),IF(100*11247/(F66-5000)&lt;0.005,"*",100*11247/(F66-5000)),0)</f>
        <v>0.07324744402435147</v>
      </c>
    </row>
    <row r="60" spans="1:7" ht="12.75">
      <c r="A60" s="11" t="s">
        <v>142</v>
      </c>
      <c r="B60" s="17">
        <v>418494</v>
      </c>
      <c r="C60" s="17">
        <v>0</v>
      </c>
      <c r="D60" s="17">
        <v>409089</v>
      </c>
      <c r="E60" s="17">
        <v>409089</v>
      </c>
      <c r="F60" s="17">
        <v>403336</v>
      </c>
      <c r="G60" s="18">
        <f>IF(AND(F66&lt;&gt;5000,403336&lt;&gt;0),IF(100*403336/(F66-5000)&lt;0.005,"*",100*403336/(F66-5000)),0)</f>
        <v>2.6267743472042167</v>
      </c>
    </row>
    <row r="61" spans="1:7" ht="12.75">
      <c r="A61" s="11" t="s">
        <v>143</v>
      </c>
      <c r="B61" s="17">
        <v>0</v>
      </c>
      <c r="C61" s="17">
        <v>0</v>
      </c>
      <c r="D61" s="17">
        <v>0</v>
      </c>
      <c r="E61" s="17">
        <v>0</v>
      </c>
      <c r="F61" s="17">
        <v>1000</v>
      </c>
      <c r="G61" s="18">
        <f>IF(AND(F66&lt;&gt;5000,1000&lt;&gt;0),IF(100*1000/(F66-5000)&lt;0.005,"*",100*1000/(F66-5000)),0)</f>
        <v>0.006512620612105581</v>
      </c>
    </row>
    <row r="62" spans="1:7" ht="12.75">
      <c r="A62" s="11" t="s">
        <v>144</v>
      </c>
      <c r="B62" s="17">
        <v>10913</v>
      </c>
      <c r="C62" s="17">
        <v>0</v>
      </c>
      <c r="D62" s="17">
        <v>9822</v>
      </c>
      <c r="E62" s="17">
        <v>9822</v>
      </c>
      <c r="F62" s="17">
        <v>9708</v>
      </c>
      <c r="G62" s="18">
        <f>IF(AND(F66&lt;&gt;5000,9708&lt;&gt;0),IF(100*9708/(F66-5000)&lt;0.005,"*",100*9708/(F66-5000)),0)</f>
        <v>0.06322452090232097</v>
      </c>
    </row>
    <row r="63" spans="1:7" ht="12.75">
      <c r="A63" s="11" t="s">
        <v>145</v>
      </c>
      <c r="B63" s="17">
        <v>95806</v>
      </c>
      <c r="C63" s="17">
        <v>0</v>
      </c>
      <c r="D63" s="17">
        <v>99640</v>
      </c>
      <c r="E63" s="17">
        <v>99640</v>
      </c>
      <c r="F63" s="17">
        <v>106267</v>
      </c>
      <c r="G63" s="18">
        <f>IF(AND(F66&lt;&gt;5000,106267&lt;&gt;0),IF(100*106267/(F66-5000)&lt;0.005,"*",100*106267/(F66-5000)),0)</f>
        <v>0.6920766545866238</v>
      </c>
    </row>
    <row r="64" spans="1:7" ht="12.75">
      <c r="A64" s="11" t="s">
        <v>146</v>
      </c>
      <c r="B64" s="17">
        <v>8984</v>
      </c>
      <c r="C64" s="17">
        <v>0</v>
      </c>
      <c r="D64" s="17">
        <v>8984</v>
      </c>
      <c r="E64" s="17">
        <v>8984</v>
      </c>
      <c r="F64" s="17">
        <v>5000</v>
      </c>
      <c r="G64" s="18">
        <v>0</v>
      </c>
    </row>
    <row r="65" spans="1:7" ht="12.75">
      <c r="A65" s="11" t="s">
        <v>159</v>
      </c>
      <c r="B65" s="17">
        <v>0</v>
      </c>
      <c r="C65" s="17">
        <v>0</v>
      </c>
      <c r="D65" s="17">
        <v>0</v>
      </c>
      <c r="E65" s="17">
        <v>0</v>
      </c>
      <c r="F65" s="17">
        <v>173742</v>
      </c>
      <c r="G65" s="18">
        <f>IF(AND(F66&lt;&gt;5000,173742&lt;&gt;0),IF(100*173742/(F66-5000)&lt;0.005,"*",100*173742/(F66-5000)),0)</f>
        <v>1.1315157303884478</v>
      </c>
    </row>
    <row r="66" spans="1:7" ht="15" customHeight="1">
      <c r="A66" s="19" t="s">
        <v>87</v>
      </c>
      <c r="B66" s="20">
        <f>221717+37335+322898+154447+1684685+150078+116022+44353+42820+775555+499203+47116+57316+663984+258377+91238+104106+211846+284165+50093+195893+231804+498675+148615+190695+240760+45469+68852+116721+39727+330357+116229+1104439+417089+33486+558321+156295+140325+544123+49345+225766+43470+283710+1320732+87212+33196+243580+230248+89240+208477+33060+10321+15424+6595+418494+0+10913+95806+8984+0+0</f>
        <v>14409802</v>
      </c>
      <c r="C66" s="20">
        <f>0+0+0+0+0+0+0+0+0+0+0+0+0+0+0+0+0+0+0+0+0+0+0+0+0+0+0+0+0+0+0+0+0+0+0+0+0+0+0+0+0+0+0+0+0+0+0+0+0+0+0+0+0+0+0+0+0+0+0+0+0</f>
        <v>0</v>
      </c>
      <c r="D66" s="20">
        <f>237562+41531+329711+156880+1767975+150743+123279+47293+44427+814621+523558+53315+58225+668430+256985+95364+109869+215394+289759+52619+220167+232921+491157+163704+185493+239214+46174+70768+120140+43177+342651+113497+1141389+429022+36422+575323+161342+146542+578591+50491+239397+44723+301933+1378923+88043+35249+262991+230130+89484+216411+34661+11262+16528+6807+409089+0+9822+99640+8984+0+0</f>
        <v>14909802</v>
      </c>
      <c r="E66" s="20">
        <f>SUM(C66:D66)</f>
        <v>14909802</v>
      </c>
      <c r="F66" s="20">
        <f>241428+42330+334505+158298+1804240+153149+126128+48311+45358+834842+531892+54757+59099+683088+259477+97035+111830+218503+294973+53643+226071+235629+490958+167409+184360+241555+46930+72053+123401+43875+349558+114647+1167541+437352+37140+583822+163771+148581+589882+51477+245090+45624+308340+1406928+90251+35938+268880+233681+90658+221095+35349+18608+20162+11247+403336+1000+9708+106267+5000+173742+0</f>
        <v>15359802</v>
      </c>
      <c r="G66" s="21" t="s">
        <v>147</v>
      </c>
    </row>
    <row r="67" spans="1:7" ht="15" customHeight="1">
      <c r="A67" s="33" t="s">
        <v>148</v>
      </c>
      <c r="B67" s="33"/>
      <c r="C67" s="33"/>
      <c r="D67" s="33"/>
      <c r="E67" s="33"/>
      <c r="F67" s="33"/>
      <c r="G67" s="33"/>
    </row>
    <row r="68" spans="1:7" ht="15" customHeight="1">
      <c r="A68" s="26" t="s">
        <v>149</v>
      </c>
      <c r="B68" s="26"/>
      <c r="C68" s="26"/>
      <c r="D68" s="26"/>
      <c r="E68" s="26"/>
      <c r="F68" s="26"/>
      <c r="G68" s="26"/>
    </row>
  </sheetData>
  <sheetProtection/>
  <mergeCells count="6">
    <mergeCell ref="A68:G68"/>
    <mergeCell ref="A4:A5"/>
    <mergeCell ref="B4:B5"/>
    <mergeCell ref="F4:F5"/>
    <mergeCell ref="G4:G5"/>
    <mergeCell ref="A67:G67"/>
  </mergeCells>
  <printOptions/>
  <pageMargins left="0.7" right="0.7" top="0.75" bottom="0.75" header="0.3" footer="0.3"/>
  <pageSetup fitToHeight="1" fitToWidth="1"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156</v>
      </c>
      <c r="B1" s="10"/>
      <c r="C1" s="10"/>
      <c r="D1" s="10"/>
      <c r="E1" s="10"/>
      <c r="F1" s="10"/>
      <c r="G1" s="12" t="s">
        <v>160</v>
      </c>
    </row>
    <row r="2" spans="1:7" ht="12.75">
      <c r="A2" s="13" t="s">
        <v>404</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36285</v>
      </c>
      <c r="C6" s="17">
        <v>0</v>
      </c>
      <c r="D6" s="17">
        <v>35676</v>
      </c>
      <c r="E6" s="17">
        <v>35676</v>
      </c>
      <c r="F6" s="17">
        <v>35848</v>
      </c>
      <c r="G6" s="18">
        <f>IF(AND(F65&lt;&gt;11250,35848&lt;&gt;0),IF(100*35848/(F65-11250)&lt;0.005,"*",100*35848/(F65-11250)),0)</f>
        <v>1.601250697934115</v>
      </c>
    </row>
    <row r="7" spans="1:7" ht="12.75">
      <c r="A7" s="11" t="s">
        <v>89</v>
      </c>
      <c r="B7" s="17">
        <v>10833</v>
      </c>
      <c r="C7" s="17">
        <v>0</v>
      </c>
      <c r="D7" s="17">
        <v>10634</v>
      </c>
      <c r="E7" s="17">
        <v>10634</v>
      </c>
      <c r="F7" s="17">
        <v>10679</v>
      </c>
      <c r="G7" s="18">
        <f>IF(AND(F65&lt;&gt;11250,10679&lt;&gt;0),IF(100*10679/(F65-11250)&lt;0.005,"*",100*10679/(F65-11250)),0)</f>
        <v>0.4770072585147962</v>
      </c>
    </row>
    <row r="8" spans="1:7" ht="12.75">
      <c r="A8" s="11" t="s">
        <v>90</v>
      </c>
      <c r="B8" s="17">
        <v>35496</v>
      </c>
      <c r="C8" s="17">
        <v>0</v>
      </c>
      <c r="D8" s="17">
        <v>34527</v>
      </c>
      <c r="E8" s="17">
        <v>34527</v>
      </c>
      <c r="F8" s="17">
        <v>36873</v>
      </c>
      <c r="G8" s="18">
        <f>IF(AND(F65&lt;&gt;11250,36873&lt;&gt;0),IF(100*36873/(F65-11250)&lt;0.005,"*",100*36873/(F65-11250)),0)</f>
        <v>1.647035175879397</v>
      </c>
    </row>
    <row r="9" spans="1:7" ht="12.75">
      <c r="A9" s="11" t="s">
        <v>91</v>
      </c>
      <c r="B9" s="17">
        <v>22040</v>
      </c>
      <c r="C9" s="17">
        <v>0</v>
      </c>
      <c r="D9" s="17">
        <v>21573</v>
      </c>
      <c r="E9" s="17">
        <v>21573</v>
      </c>
      <c r="F9" s="17">
        <v>21696</v>
      </c>
      <c r="G9" s="18">
        <f>IF(AND(F65&lt;&gt;11250,21696&lt;&gt;0),IF(100*21696/(F65-11250)&lt;0.005,"*",100*21696/(F65-11250)),0)</f>
        <v>0.9691122278056952</v>
      </c>
    </row>
    <row r="10" spans="1:7" ht="12.75">
      <c r="A10" s="11" t="s">
        <v>92</v>
      </c>
      <c r="B10" s="17">
        <v>254341</v>
      </c>
      <c r="C10" s="17">
        <v>0</v>
      </c>
      <c r="D10" s="17">
        <v>249360</v>
      </c>
      <c r="E10" s="17">
        <v>249360</v>
      </c>
      <c r="F10" s="17">
        <v>252007</v>
      </c>
      <c r="G10" s="18">
        <f>IF(AND(F65&lt;&gt;11250,252007&lt;&gt;0),IF(100*252007/(F65-11250)&lt;0.005,"*",100*252007/(F65-11250)),0)</f>
        <v>11.256594081518704</v>
      </c>
    </row>
    <row r="11" spans="1:7" ht="12.75">
      <c r="A11" s="11" t="s">
        <v>93</v>
      </c>
      <c r="B11" s="17">
        <v>25437</v>
      </c>
      <c r="C11" s="17">
        <v>0</v>
      </c>
      <c r="D11" s="17">
        <v>24880</v>
      </c>
      <c r="E11" s="17">
        <v>24880</v>
      </c>
      <c r="F11" s="17">
        <v>25469</v>
      </c>
      <c r="G11" s="18">
        <f>IF(AND(F65&lt;&gt;11250,25469&lt;&gt;0),IF(100*25469/(F65-11250)&lt;0.005,"*",100*25469/(F65-11250)),0)</f>
        <v>1.137643774427694</v>
      </c>
    </row>
    <row r="12" spans="1:7" ht="12.75">
      <c r="A12" s="11" t="s">
        <v>94</v>
      </c>
      <c r="B12" s="17">
        <v>21574</v>
      </c>
      <c r="C12" s="17">
        <v>0</v>
      </c>
      <c r="D12" s="17">
        <v>21276</v>
      </c>
      <c r="E12" s="17">
        <v>21276</v>
      </c>
      <c r="F12" s="17">
        <v>20781</v>
      </c>
      <c r="G12" s="18">
        <f>IF(AND(F65&lt;&gt;11250,20781&lt;&gt;0),IF(100*20781/(F65-11250)&lt;0.005,"*",100*20781/(F65-11250)),0)</f>
        <v>0.9282412060301507</v>
      </c>
    </row>
    <row r="13" spans="1:7" ht="12.75">
      <c r="A13" s="11" t="s">
        <v>95</v>
      </c>
      <c r="B13" s="17">
        <v>10833</v>
      </c>
      <c r="C13" s="17">
        <v>0</v>
      </c>
      <c r="D13" s="17">
        <v>10634</v>
      </c>
      <c r="E13" s="17">
        <v>10634</v>
      </c>
      <c r="F13" s="17">
        <v>10679</v>
      </c>
      <c r="G13" s="18">
        <f>IF(AND(F65&lt;&gt;11250,10679&lt;&gt;0),IF(100*10679/(F65-11250)&lt;0.005,"*",100*10679/(F65-11250)),0)</f>
        <v>0.4770072585147962</v>
      </c>
    </row>
    <row r="14" spans="1:7" ht="12.75">
      <c r="A14" s="11" t="s">
        <v>96</v>
      </c>
      <c r="B14" s="17">
        <v>10833</v>
      </c>
      <c r="C14" s="17">
        <v>0</v>
      </c>
      <c r="D14" s="17">
        <v>10634</v>
      </c>
      <c r="E14" s="17">
        <v>10634</v>
      </c>
      <c r="F14" s="17">
        <v>10679</v>
      </c>
      <c r="G14" s="18">
        <f>IF(AND(F65&lt;&gt;11250,10679&lt;&gt;0),IF(100*10679/(F65-11250)&lt;0.005,"*",100*10679/(F65-11250)),0)</f>
        <v>0.4770072585147962</v>
      </c>
    </row>
    <row r="15" spans="1:7" ht="12.75">
      <c r="A15" s="11" t="s">
        <v>97</v>
      </c>
      <c r="B15" s="17">
        <v>102927</v>
      </c>
      <c r="C15" s="17">
        <v>0</v>
      </c>
      <c r="D15" s="17">
        <v>100712</v>
      </c>
      <c r="E15" s="17">
        <v>100712</v>
      </c>
      <c r="F15" s="17">
        <v>103962</v>
      </c>
      <c r="G15" s="18">
        <f>IF(AND(F65&lt;&gt;11250,103962&lt;&gt;0),IF(100*103962/(F65-11250)&lt;0.005,"*",100*103962/(F65-11250)),0)</f>
        <v>4.643752093802345</v>
      </c>
    </row>
    <row r="16" spans="1:7" ht="12.75">
      <c r="A16" s="11" t="s">
        <v>98</v>
      </c>
      <c r="B16" s="17">
        <v>59838</v>
      </c>
      <c r="C16" s="17">
        <v>0</v>
      </c>
      <c r="D16" s="17">
        <v>58480</v>
      </c>
      <c r="E16" s="17">
        <v>58480</v>
      </c>
      <c r="F16" s="17">
        <v>61651</v>
      </c>
      <c r="G16" s="18">
        <f>IF(AND(F65&lt;&gt;11250,61651&lt;&gt;0),IF(100*61651/(F65-11250)&lt;0.005,"*",100*61651/(F65-11250)),0)</f>
        <v>2.753813512004467</v>
      </c>
    </row>
    <row r="17" spans="1:7" ht="12.75">
      <c r="A17" s="11" t="s">
        <v>99</v>
      </c>
      <c r="B17" s="17">
        <v>10833</v>
      </c>
      <c r="C17" s="17">
        <v>0</v>
      </c>
      <c r="D17" s="17">
        <v>10634</v>
      </c>
      <c r="E17" s="17">
        <v>10634</v>
      </c>
      <c r="F17" s="17">
        <v>10679</v>
      </c>
      <c r="G17" s="18">
        <f>IF(AND(F65&lt;&gt;11250,10679&lt;&gt;0),IF(100*10679/(F65-11250)&lt;0.005,"*",100*10679/(F65-11250)),0)</f>
        <v>0.4770072585147962</v>
      </c>
    </row>
    <row r="18" spans="1:7" ht="12.75">
      <c r="A18" s="11" t="s">
        <v>100</v>
      </c>
      <c r="B18" s="17">
        <v>10853</v>
      </c>
      <c r="C18" s="17">
        <v>0</v>
      </c>
      <c r="D18" s="17">
        <v>10640</v>
      </c>
      <c r="E18" s="17">
        <v>10640</v>
      </c>
      <c r="F18" s="17">
        <v>10700</v>
      </c>
      <c r="G18" s="18">
        <f>IF(AND(F65&lt;&gt;11250,10700&lt;&gt;0),IF(100*10700/(F65-11250)&lt;0.005,"*",100*10700/(F65-11250)),0)</f>
        <v>0.47794528196538244</v>
      </c>
    </row>
    <row r="19" spans="1:7" ht="12.75">
      <c r="A19" s="11" t="s">
        <v>101</v>
      </c>
      <c r="B19" s="17">
        <v>93724</v>
      </c>
      <c r="C19" s="17">
        <v>0</v>
      </c>
      <c r="D19" s="17">
        <v>92142</v>
      </c>
      <c r="E19" s="17">
        <v>92142</v>
      </c>
      <c r="F19" s="17">
        <v>90464</v>
      </c>
      <c r="G19" s="18">
        <f>IF(AND(F65&lt;&gt;11250,90464&lt;&gt;0),IF(100*90464/(F65-11250)&lt;0.005,"*",100*90464/(F65-11250)),0)</f>
        <v>4.040826353992183</v>
      </c>
    </row>
    <row r="20" spans="1:7" ht="12.75">
      <c r="A20" s="11" t="s">
        <v>102</v>
      </c>
      <c r="B20" s="17">
        <v>38852</v>
      </c>
      <c r="C20" s="17">
        <v>0</v>
      </c>
      <c r="D20" s="17">
        <v>38033</v>
      </c>
      <c r="E20" s="17">
        <v>38033</v>
      </c>
      <c r="F20" s="17">
        <v>38733</v>
      </c>
      <c r="G20" s="18">
        <f>IF(AND(F65&lt;&gt;11250,38733&lt;&gt;0),IF(100*38733/(F65-11250)&lt;0.005,"*",100*38733/(F65-11250)),0)</f>
        <v>1.7301172529313233</v>
      </c>
    </row>
    <row r="21" spans="1:7" ht="12.75">
      <c r="A21" s="11" t="s">
        <v>103</v>
      </c>
      <c r="B21" s="17">
        <v>17873</v>
      </c>
      <c r="C21" s="17">
        <v>0</v>
      </c>
      <c r="D21" s="17">
        <v>17563</v>
      </c>
      <c r="E21" s="17">
        <v>17563</v>
      </c>
      <c r="F21" s="17">
        <v>17421</v>
      </c>
      <c r="G21" s="18">
        <f>IF(AND(F65&lt;&gt;11250,17421&lt;&gt;0),IF(100*17421/(F65-11250)&lt;0.005,"*",100*17421/(F65-11250)),0)</f>
        <v>0.7781574539363484</v>
      </c>
    </row>
    <row r="22" spans="1:7" ht="12.75">
      <c r="A22" s="11" t="s">
        <v>104</v>
      </c>
      <c r="B22" s="17">
        <v>18241</v>
      </c>
      <c r="C22" s="17">
        <v>0</v>
      </c>
      <c r="D22" s="17">
        <v>17934</v>
      </c>
      <c r="E22" s="17">
        <v>17934</v>
      </c>
      <c r="F22" s="17">
        <v>17881</v>
      </c>
      <c r="G22" s="18">
        <f>IF(AND(F65&lt;&gt;11250,17881&lt;&gt;0),IF(100*17881/(F65-11250)&lt;0.005,"*",100*17881/(F65-11250)),0)</f>
        <v>0.7987046342825237</v>
      </c>
    </row>
    <row r="23" spans="1:7" ht="12.75">
      <c r="A23" s="11" t="s">
        <v>105</v>
      </c>
      <c r="B23" s="17">
        <v>35840</v>
      </c>
      <c r="C23" s="17">
        <v>0</v>
      </c>
      <c r="D23" s="17">
        <v>35304</v>
      </c>
      <c r="E23" s="17">
        <v>35304</v>
      </c>
      <c r="F23" s="17">
        <v>34742</v>
      </c>
      <c r="G23" s="18">
        <f>IF(AND(F65&lt;&gt;11250,34742&lt;&gt;0),IF(100*34742/(F65-11250)&lt;0.005,"*",100*34742/(F65-11250)),0)</f>
        <v>1.5518481295365718</v>
      </c>
    </row>
    <row r="24" spans="1:7" ht="12.75">
      <c r="A24" s="11" t="s">
        <v>106</v>
      </c>
      <c r="B24" s="17">
        <v>52095</v>
      </c>
      <c r="C24" s="17">
        <v>0</v>
      </c>
      <c r="D24" s="17">
        <v>51419</v>
      </c>
      <c r="E24" s="17">
        <v>51419</v>
      </c>
      <c r="F24" s="17">
        <v>49333</v>
      </c>
      <c r="G24" s="18">
        <f>IF(AND(F65&lt;&gt;11250,49333&lt;&gt;0),IF(100*49333/(F65-11250)&lt;0.005,"*",100*49333/(F65-11250)),0)</f>
        <v>2.203595756560581</v>
      </c>
    </row>
    <row r="25" spans="1:7" ht="12.75">
      <c r="A25" s="11" t="s">
        <v>107</v>
      </c>
      <c r="B25" s="17">
        <v>10833</v>
      </c>
      <c r="C25" s="17">
        <v>0</v>
      </c>
      <c r="D25" s="17">
        <v>10634</v>
      </c>
      <c r="E25" s="17">
        <v>10634</v>
      </c>
      <c r="F25" s="17">
        <v>10679</v>
      </c>
      <c r="G25" s="18">
        <f>IF(AND(F65&lt;&gt;11250,10679&lt;&gt;0),IF(100*10679/(F65-11250)&lt;0.005,"*",100*10679/(F65-11250)),0)</f>
        <v>0.4770072585147962</v>
      </c>
    </row>
    <row r="26" spans="1:7" ht="12.75">
      <c r="A26" s="11" t="s">
        <v>108</v>
      </c>
      <c r="B26" s="17">
        <v>33206</v>
      </c>
      <c r="C26" s="17">
        <v>0</v>
      </c>
      <c r="D26" s="17">
        <v>32763</v>
      </c>
      <c r="E26" s="17">
        <v>32763</v>
      </c>
      <c r="F26" s="17">
        <v>32250</v>
      </c>
      <c r="G26" s="18">
        <f>IF(AND(F65&lt;&gt;11250,32250&lt;&gt;0),IF(100*32250/(F65-11250)&lt;0.005,"*",100*32250/(F65-11250)),0)</f>
        <v>1.440536013400335</v>
      </c>
    </row>
    <row r="27" spans="1:7" ht="12.75">
      <c r="A27" s="11" t="s">
        <v>109</v>
      </c>
      <c r="B27" s="17">
        <v>41946</v>
      </c>
      <c r="C27" s="17">
        <v>0</v>
      </c>
      <c r="D27" s="17">
        <v>41304</v>
      </c>
      <c r="E27" s="17">
        <v>41304</v>
      </c>
      <c r="F27" s="17">
        <v>39943</v>
      </c>
      <c r="G27" s="18">
        <f>IF(AND(F65&lt;&gt;11250,39943&lt;&gt;0),IF(100*39943/(F65-11250)&lt;0.005,"*",100*39943/(F65-11250)),0)</f>
        <v>1.7841652707984366</v>
      </c>
    </row>
    <row r="28" spans="1:7" ht="12.75">
      <c r="A28" s="11" t="s">
        <v>110</v>
      </c>
      <c r="B28" s="17">
        <v>91173</v>
      </c>
      <c r="C28" s="17">
        <v>0</v>
      </c>
      <c r="D28" s="17">
        <v>89929</v>
      </c>
      <c r="E28" s="17">
        <v>89929</v>
      </c>
      <c r="F28" s="17">
        <v>86280</v>
      </c>
      <c r="G28" s="18">
        <f>IF(AND(F65&lt;&gt;11250,86280&lt;&gt;0),IF(100*86280/(F65-11250)&lt;0.005,"*",100*86280/(F65-11250)),0)</f>
        <v>3.8539363484087104</v>
      </c>
    </row>
    <row r="29" spans="1:7" ht="12.75">
      <c r="A29" s="11" t="s">
        <v>111</v>
      </c>
      <c r="B29" s="17">
        <v>31237</v>
      </c>
      <c r="C29" s="17">
        <v>0</v>
      </c>
      <c r="D29" s="17">
        <v>30785</v>
      </c>
      <c r="E29" s="17">
        <v>30785</v>
      </c>
      <c r="F29" s="17">
        <v>30394</v>
      </c>
      <c r="G29" s="18">
        <f>IF(AND(F65&lt;&gt;11250,30394&lt;&gt;0),IF(100*30394/(F65-11250)&lt;0.005,"*",100*30394/(F65-11250)),0)</f>
        <v>1.3576326074818537</v>
      </c>
    </row>
    <row r="30" spans="1:7" ht="12.75">
      <c r="A30" s="11" t="s">
        <v>112</v>
      </c>
      <c r="B30" s="17">
        <v>34059</v>
      </c>
      <c r="C30" s="17">
        <v>0</v>
      </c>
      <c r="D30" s="17">
        <v>33458</v>
      </c>
      <c r="E30" s="17">
        <v>33458</v>
      </c>
      <c r="F30" s="17">
        <v>32466</v>
      </c>
      <c r="G30" s="18">
        <f>IF(AND(F65&lt;&gt;11250,32466&lt;&gt;0),IF(100*32466/(F65-11250)&lt;0.005,"*",100*32466/(F65-11250)),0)</f>
        <v>1.4501842546063652</v>
      </c>
    </row>
    <row r="31" spans="1:7" ht="12.75">
      <c r="A31" s="11" t="s">
        <v>113</v>
      </c>
      <c r="B31" s="17">
        <v>39456</v>
      </c>
      <c r="C31" s="17">
        <v>0</v>
      </c>
      <c r="D31" s="17">
        <v>38707</v>
      </c>
      <c r="E31" s="17">
        <v>38707</v>
      </c>
      <c r="F31" s="17">
        <v>38578</v>
      </c>
      <c r="G31" s="18">
        <f>IF(AND(F65&lt;&gt;11250,38578&lt;&gt;0),IF(100*38578/(F65-11250)&lt;0.005,"*",100*38578/(F65-11250)),0)</f>
        <v>1.7231937465103295</v>
      </c>
    </row>
    <row r="32" spans="1:7" ht="12.75">
      <c r="A32" s="11" t="s">
        <v>114</v>
      </c>
      <c r="B32" s="17">
        <v>10833</v>
      </c>
      <c r="C32" s="17">
        <v>0</v>
      </c>
      <c r="D32" s="17">
        <v>10634</v>
      </c>
      <c r="E32" s="17">
        <v>10634</v>
      </c>
      <c r="F32" s="17">
        <v>10679</v>
      </c>
      <c r="G32" s="18">
        <f>IF(AND(F65&lt;&gt;11250,10679&lt;&gt;0),IF(100*10679/(F65-11250)&lt;0.005,"*",100*10679/(F65-11250)),0)</f>
        <v>0.4770072585147962</v>
      </c>
    </row>
    <row r="33" spans="1:7" ht="12.75">
      <c r="A33" s="11" t="s">
        <v>115</v>
      </c>
      <c r="B33" s="17">
        <v>11110</v>
      </c>
      <c r="C33" s="17">
        <v>0</v>
      </c>
      <c r="D33" s="17">
        <v>10911</v>
      </c>
      <c r="E33" s="17">
        <v>10911</v>
      </c>
      <c r="F33" s="17">
        <v>10917</v>
      </c>
      <c r="G33" s="18">
        <f>IF(AND(F65&lt;&gt;11250,10917&lt;&gt;0),IF(100*10917/(F65-11250)&lt;0.005,"*",100*10917/(F65-11250)),0)</f>
        <v>0.48763819095477384</v>
      </c>
    </row>
    <row r="34" spans="1:7" ht="12.75">
      <c r="A34" s="11" t="s">
        <v>116</v>
      </c>
      <c r="B34" s="17">
        <v>11417</v>
      </c>
      <c r="C34" s="17">
        <v>0</v>
      </c>
      <c r="D34" s="17">
        <v>11072</v>
      </c>
      <c r="E34" s="17">
        <v>11072</v>
      </c>
      <c r="F34" s="17">
        <v>12163</v>
      </c>
      <c r="G34" s="18">
        <f>IF(AND(F65&lt;&gt;11250,12163&lt;&gt;0),IF(100*12163/(F65-11250)&lt;0.005,"*",100*12163/(F65-11250)),0)</f>
        <v>0.5432942490228923</v>
      </c>
    </row>
    <row r="35" spans="1:7" ht="12.75">
      <c r="A35" s="11" t="s">
        <v>117</v>
      </c>
      <c r="B35" s="17">
        <v>10833</v>
      </c>
      <c r="C35" s="17">
        <v>0</v>
      </c>
      <c r="D35" s="17">
        <v>10634</v>
      </c>
      <c r="E35" s="17">
        <v>10634</v>
      </c>
      <c r="F35" s="17">
        <v>10679</v>
      </c>
      <c r="G35" s="18">
        <f>IF(AND(F65&lt;&gt;11250,10679&lt;&gt;0),IF(100*10679/(F65-11250)&lt;0.005,"*",100*10679/(F65-11250)),0)</f>
        <v>0.4770072585147962</v>
      </c>
    </row>
    <row r="36" spans="1:7" ht="12.75">
      <c r="A36" s="11" t="s">
        <v>118</v>
      </c>
      <c r="B36" s="17">
        <v>52363</v>
      </c>
      <c r="C36" s="17">
        <v>0</v>
      </c>
      <c r="D36" s="17">
        <v>51493</v>
      </c>
      <c r="E36" s="17">
        <v>51493</v>
      </c>
      <c r="F36" s="17">
        <v>50874</v>
      </c>
      <c r="G36" s="18">
        <f>IF(AND(F65&lt;&gt;11250,50874&lt;&gt;0),IF(100*50874/(F65-11250)&lt;0.005,"*",100*50874/(F65-11250)),0)</f>
        <v>2.272428810720268</v>
      </c>
    </row>
    <row r="37" spans="1:7" ht="12.75">
      <c r="A37" s="11" t="s">
        <v>119</v>
      </c>
      <c r="B37" s="17">
        <v>18096</v>
      </c>
      <c r="C37" s="17">
        <v>0</v>
      </c>
      <c r="D37" s="17">
        <v>17722</v>
      </c>
      <c r="E37" s="17">
        <v>17722</v>
      </c>
      <c r="F37" s="17">
        <v>17570</v>
      </c>
      <c r="G37" s="18">
        <f>IF(AND(F65&lt;&gt;11250,17570&lt;&gt;0),IF(100*17570/(F65-11250)&lt;0.005,"*",100*17570/(F65-11250)),0)</f>
        <v>0.7848129536571747</v>
      </c>
    </row>
    <row r="38" spans="1:7" ht="12.75">
      <c r="A38" s="11" t="s">
        <v>120</v>
      </c>
      <c r="B38" s="17">
        <v>188308</v>
      </c>
      <c r="C38" s="17">
        <v>0</v>
      </c>
      <c r="D38" s="17">
        <v>186039</v>
      </c>
      <c r="E38" s="17">
        <v>186039</v>
      </c>
      <c r="F38" s="17">
        <v>176892</v>
      </c>
      <c r="G38" s="18">
        <f>IF(AND(F65&lt;&gt;11250,176892&lt;&gt;0),IF(100*176892/(F65-11250)&lt;0.005,"*",100*176892/(F65-11250)),0)</f>
        <v>7.901373534338359</v>
      </c>
    </row>
    <row r="39" spans="1:7" ht="12.75">
      <c r="A39" s="11" t="s">
        <v>121</v>
      </c>
      <c r="B39" s="17">
        <v>49793</v>
      </c>
      <c r="C39" s="17">
        <v>0</v>
      </c>
      <c r="D39" s="17">
        <v>48490</v>
      </c>
      <c r="E39" s="17">
        <v>48490</v>
      </c>
      <c r="F39" s="17">
        <v>51479</v>
      </c>
      <c r="G39" s="18">
        <f>IF(AND(F65&lt;&gt;11250,51479&lt;&gt;0),IF(100*51479/(F65-11250)&lt;0.005,"*",100*51479/(F65-11250)),0)</f>
        <v>2.299452819653825</v>
      </c>
    </row>
    <row r="40" spans="1:7" ht="12.75">
      <c r="A40" s="11" t="s">
        <v>122</v>
      </c>
      <c r="B40" s="17">
        <v>10833</v>
      </c>
      <c r="C40" s="17">
        <v>0</v>
      </c>
      <c r="D40" s="17">
        <v>10634</v>
      </c>
      <c r="E40" s="17">
        <v>10634</v>
      </c>
      <c r="F40" s="17">
        <v>10679</v>
      </c>
      <c r="G40" s="18">
        <f>IF(AND(F65&lt;&gt;11250,10679&lt;&gt;0),IF(100*10679/(F65-11250)&lt;0.005,"*",100*10679/(F65-11250)),0)</f>
        <v>0.4770072585147962</v>
      </c>
    </row>
    <row r="41" spans="1:7" ht="12.75">
      <c r="A41" s="11" t="s">
        <v>123</v>
      </c>
      <c r="B41" s="17">
        <v>85802</v>
      </c>
      <c r="C41" s="17">
        <v>0</v>
      </c>
      <c r="D41" s="17">
        <v>84478</v>
      </c>
      <c r="E41" s="17">
        <v>84478</v>
      </c>
      <c r="F41" s="17">
        <v>83244</v>
      </c>
      <c r="G41" s="18">
        <f>IF(AND(F65&lt;&gt;11250,83244&lt;&gt;0),IF(100*83244/(F65-11250)&lt;0.005,"*",100*83244/(F65-11250)),0)</f>
        <v>3.718324958123953</v>
      </c>
    </row>
    <row r="42" spans="1:7" ht="12.75">
      <c r="A42" s="11" t="s">
        <v>124</v>
      </c>
      <c r="B42" s="17">
        <v>26237</v>
      </c>
      <c r="C42" s="17">
        <v>0</v>
      </c>
      <c r="D42" s="17">
        <v>25742</v>
      </c>
      <c r="E42" s="17">
        <v>25742</v>
      </c>
      <c r="F42" s="17">
        <v>25913</v>
      </c>
      <c r="G42" s="18">
        <f>IF(AND(F65&lt;&gt;11250,25913&lt;&gt;0),IF(100*25913/(F65-11250)&lt;0.005,"*",100*25913/(F65-11250)),0)</f>
        <v>1.1574762702400894</v>
      </c>
    </row>
    <row r="43" spans="1:7" ht="12.75">
      <c r="A43" s="11" t="s">
        <v>125</v>
      </c>
      <c r="B43" s="17">
        <v>22084</v>
      </c>
      <c r="C43" s="17">
        <v>0</v>
      </c>
      <c r="D43" s="17">
        <v>21681</v>
      </c>
      <c r="E43" s="17">
        <v>21681</v>
      </c>
      <c r="F43" s="17">
        <v>21896</v>
      </c>
      <c r="G43" s="18">
        <f>IF(AND(F65&lt;&gt;11250,21896&lt;&gt;0),IF(100*21896/(F65-11250)&lt;0.005,"*",100*21896/(F65-11250)),0)</f>
        <v>0.9780457844779453</v>
      </c>
    </row>
    <row r="44" spans="1:7" ht="12.75">
      <c r="A44" s="11" t="s">
        <v>126</v>
      </c>
      <c r="B44" s="17">
        <v>93503</v>
      </c>
      <c r="C44" s="17">
        <v>0</v>
      </c>
      <c r="D44" s="17">
        <v>92330</v>
      </c>
      <c r="E44" s="17">
        <v>92330</v>
      </c>
      <c r="F44" s="17">
        <v>89157</v>
      </c>
      <c r="G44" s="18">
        <f>IF(AND(F65&lt;&gt;11250,89157&lt;&gt;0),IF(100*89157/(F65-11250)&lt;0.005,"*",100*89157/(F65-11250)),0)</f>
        <v>3.9824455611390284</v>
      </c>
    </row>
    <row r="45" spans="1:7" ht="12.75">
      <c r="A45" s="11" t="s">
        <v>127</v>
      </c>
      <c r="B45" s="17">
        <v>10833</v>
      </c>
      <c r="C45" s="17">
        <v>0</v>
      </c>
      <c r="D45" s="17">
        <v>10634</v>
      </c>
      <c r="E45" s="17">
        <v>10634</v>
      </c>
      <c r="F45" s="17">
        <v>10679</v>
      </c>
      <c r="G45" s="18">
        <f>IF(AND(F65&lt;&gt;11250,10679&lt;&gt;0),IF(100*10679/(F65-11250)&lt;0.005,"*",100*10679/(F65-11250)),0)</f>
        <v>0.4770072585147962</v>
      </c>
    </row>
    <row r="46" spans="1:7" ht="12.75">
      <c r="A46" s="11" t="s">
        <v>128</v>
      </c>
      <c r="B46" s="17">
        <v>28553</v>
      </c>
      <c r="C46" s="17">
        <v>0</v>
      </c>
      <c r="D46" s="17">
        <v>27961</v>
      </c>
      <c r="E46" s="17">
        <v>27961</v>
      </c>
      <c r="F46" s="17">
        <v>28990</v>
      </c>
      <c r="G46" s="18">
        <f>IF(AND(F65&lt;&gt;11250,28990&lt;&gt;0),IF(100*28990/(F65-11250)&lt;0.005,"*",100*28990/(F65-11250)),0)</f>
        <v>1.2949190396426578</v>
      </c>
    </row>
    <row r="47" spans="1:7" ht="12.75">
      <c r="A47" s="11" t="s">
        <v>129</v>
      </c>
      <c r="B47" s="17">
        <v>10833</v>
      </c>
      <c r="C47" s="17">
        <v>0</v>
      </c>
      <c r="D47" s="17">
        <v>10634</v>
      </c>
      <c r="E47" s="17">
        <v>10634</v>
      </c>
      <c r="F47" s="17">
        <v>10679</v>
      </c>
      <c r="G47" s="18">
        <f>IF(AND(F65&lt;&gt;11250,10679&lt;&gt;0),IF(100*10679/(F65-11250)&lt;0.005,"*",100*10679/(F65-11250)),0)</f>
        <v>0.4770072585147962</v>
      </c>
    </row>
    <row r="48" spans="1:7" ht="12.75">
      <c r="A48" s="11" t="s">
        <v>130</v>
      </c>
      <c r="B48" s="17">
        <v>38844</v>
      </c>
      <c r="C48" s="17">
        <v>0</v>
      </c>
      <c r="D48" s="17">
        <v>38038</v>
      </c>
      <c r="E48" s="17">
        <v>38038</v>
      </c>
      <c r="F48" s="17">
        <v>39366</v>
      </c>
      <c r="G48" s="18">
        <f>IF(AND(F65&lt;&gt;11250,39366&lt;&gt;0),IF(100*39366/(F65-11250)&lt;0.005,"*",100*39366/(F65-11250)),0)</f>
        <v>1.758391959798995</v>
      </c>
    </row>
    <row r="49" spans="1:7" ht="12.75">
      <c r="A49" s="11" t="s">
        <v>131</v>
      </c>
      <c r="B49" s="17">
        <v>186990</v>
      </c>
      <c r="C49" s="17">
        <v>0</v>
      </c>
      <c r="D49" s="17">
        <v>183151</v>
      </c>
      <c r="E49" s="17">
        <v>183151</v>
      </c>
      <c r="F49" s="17">
        <v>188122</v>
      </c>
      <c r="G49" s="18">
        <f>IF(AND(F65&lt;&gt;11250,188122&lt;&gt;0),IF(100*188122/(F65-11250)&lt;0.005,"*",100*188122/(F65-11250)),0)</f>
        <v>8.402992741485203</v>
      </c>
    </row>
    <row r="50" spans="1:7" ht="12.75">
      <c r="A50" s="11" t="s">
        <v>132</v>
      </c>
      <c r="B50" s="17">
        <v>14923</v>
      </c>
      <c r="C50" s="17">
        <v>0</v>
      </c>
      <c r="D50" s="17">
        <v>14553</v>
      </c>
      <c r="E50" s="17">
        <v>14553</v>
      </c>
      <c r="F50" s="17">
        <v>15192</v>
      </c>
      <c r="G50" s="18">
        <f>IF(AND(F65&lt;&gt;11250,15192&lt;&gt;0),IF(100*15192/(F65-11250)&lt;0.005,"*",100*15192/(F65-11250)),0)</f>
        <v>0.6785929648241206</v>
      </c>
    </row>
    <row r="51" spans="1:7" ht="12.75">
      <c r="A51" s="11" t="s">
        <v>133</v>
      </c>
      <c r="B51" s="17">
        <v>10833</v>
      </c>
      <c r="C51" s="17">
        <v>0</v>
      </c>
      <c r="D51" s="17">
        <v>10634</v>
      </c>
      <c r="E51" s="17">
        <v>10634</v>
      </c>
      <c r="F51" s="17">
        <v>10679</v>
      </c>
      <c r="G51" s="18">
        <f>IF(AND(F65&lt;&gt;11250,10679&lt;&gt;0),IF(100*10679/(F65-11250)&lt;0.005,"*",100*10679/(F65-11250)),0)</f>
        <v>0.4770072585147962</v>
      </c>
    </row>
    <row r="52" spans="1:7" ht="12.75">
      <c r="A52" s="11" t="s">
        <v>134</v>
      </c>
      <c r="B52" s="17">
        <v>40760</v>
      </c>
      <c r="C52" s="17">
        <v>0</v>
      </c>
      <c r="D52" s="17">
        <v>40097</v>
      </c>
      <c r="E52" s="17">
        <v>40097</v>
      </c>
      <c r="F52" s="17">
        <v>40564</v>
      </c>
      <c r="G52" s="18">
        <f>IF(AND(F65&lt;&gt;11250,40564&lt;&gt;0),IF(100*40564/(F65-11250)&lt;0.005,"*",100*40564/(F65-11250)),0)</f>
        <v>1.8119039642657733</v>
      </c>
    </row>
    <row r="53" spans="1:7" ht="12.75">
      <c r="A53" s="11" t="s">
        <v>135</v>
      </c>
      <c r="B53" s="17">
        <v>37521</v>
      </c>
      <c r="C53" s="17">
        <v>0</v>
      </c>
      <c r="D53" s="17">
        <v>36711</v>
      </c>
      <c r="E53" s="17">
        <v>36711</v>
      </c>
      <c r="F53" s="17">
        <v>36929</v>
      </c>
      <c r="G53" s="18">
        <f>IF(AND(F65&lt;&gt;11250,36929&lt;&gt;0),IF(100*36929/(F65-11250)&lt;0.005,"*",100*36929/(F65-11250)),0)</f>
        <v>1.6495365717476271</v>
      </c>
    </row>
    <row r="54" spans="1:7" ht="12.75">
      <c r="A54" s="11" t="s">
        <v>136</v>
      </c>
      <c r="B54" s="17">
        <v>19680</v>
      </c>
      <c r="C54" s="17">
        <v>0</v>
      </c>
      <c r="D54" s="17">
        <v>19456</v>
      </c>
      <c r="E54" s="17">
        <v>19456</v>
      </c>
      <c r="F54" s="17">
        <v>18309</v>
      </c>
      <c r="G54" s="18">
        <f>IF(AND(F65&lt;&gt;11250,18309&lt;&gt;0),IF(100*18309/(F65-11250)&lt;0.005,"*",100*18309/(F65-11250)),0)</f>
        <v>0.817822445561139</v>
      </c>
    </row>
    <row r="55" spans="1:7" ht="12.75">
      <c r="A55" s="11" t="s">
        <v>137</v>
      </c>
      <c r="B55" s="17">
        <v>37733</v>
      </c>
      <c r="C55" s="17">
        <v>0</v>
      </c>
      <c r="D55" s="17">
        <v>37161</v>
      </c>
      <c r="E55" s="17">
        <v>37161</v>
      </c>
      <c r="F55" s="17">
        <v>36492</v>
      </c>
      <c r="G55" s="18">
        <f>IF(AND(F65&lt;&gt;11250,36492&lt;&gt;0),IF(100*36492/(F65-11250)&lt;0.005,"*",100*36492/(F65-11250)),0)</f>
        <v>1.6300167504187604</v>
      </c>
    </row>
    <row r="56" spans="1:7" ht="12.75">
      <c r="A56" s="11" t="s">
        <v>138</v>
      </c>
      <c r="B56" s="17">
        <v>10833</v>
      </c>
      <c r="C56" s="17">
        <v>0</v>
      </c>
      <c r="D56" s="17">
        <v>10634</v>
      </c>
      <c r="E56" s="17">
        <v>10634</v>
      </c>
      <c r="F56" s="17">
        <v>10679</v>
      </c>
      <c r="G56" s="18">
        <f>IF(AND(F65&lt;&gt;11250,10679&lt;&gt;0),IF(100*10679/(F65-11250)&lt;0.005,"*",100*10679/(F65-11250)),0)</f>
        <v>0.4770072585147962</v>
      </c>
    </row>
    <row r="57" spans="1:7" ht="12.75">
      <c r="A57" s="11" t="s">
        <v>139</v>
      </c>
      <c r="B57" s="17">
        <v>2673</v>
      </c>
      <c r="C57" s="17">
        <v>0</v>
      </c>
      <c r="D57" s="17">
        <v>2673</v>
      </c>
      <c r="E57" s="17">
        <v>2673</v>
      </c>
      <c r="F57" s="17">
        <v>2608</v>
      </c>
      <c r="G57" s="18">
        <f>IF(AND(F65&lt;&gt;11250,2608&lt;&gt;0),IF(100*2608/(F65-11250)&lt;0.005,"*",100*2608/(F65-11250)),0)</f>
        <v>0.11649357900614182</v>
      </c>
    </row>
    <row r="58" spans="1:7" ht="12.75">
      <c r="A58" s="11" t="s">
        <v>140</v>
      </c>
      <c r="B58" s="17">
        <v>4496</v>
      </c>
      <c r="C58" s="17">
        <v>0</v>
      </c>
      <c r="D58" s="17">
        <v>4496</v>
      </c>
      <c r="E58" s="17">
        <v>4496</v>
      </c>
      <c r="F58" s="17">
        <v>4291</v>
      </c>
      <c r="G58" s="18">
        <f>IF(AND(F65&lt;&gt;11250,4291&lt;&gt;0),IF(100*4291/(F65-11250)&lt;0.005,"*",100*4291/(F65-11250)),0)</f>
        <v>0.19166945840312674</v>
      </c>
    </row>
    <row r="59" spans="1:7" ht="12.75">
      <c r="A59" s="11" t="s">
        <v>141</v>
      </c>
      <c r="B59" s="17">
        <v>1644</v>
      </c>
      <c r="C59" s="17">
        <v>0</v>
      </c>
      <c r="D59" s="17">
        <v>1644</v>
      </c>
      <c r="E59" s="17">
        <v>1644</v>
      </c>
      <c r="F59" s="17">
        <v>1611</v>
      </c>
      <c r="G59" s="18">
        <f>IF(AND(F65&lt;&gt;11250,1611&lt;&gt;0),IF(100*1611/(F65-11250)&lt;0.005,"*",100*1611/(F65-11250)),0)</f>
        <v>0.07195979899497487</v>
      </c>
    </row>
    <row r="60" spans="1:7" ht="12.75">
      <c r="A60" s="11" t="s">
        <v>142</v>
      </c>
      <c r="B60" s="17">
        <v>70448</v>
      </c>
      <c r="C60" s="17">
        <v>0</v>
      </c>
      <c r="D60" s="17">
        <v>69548</v>
      </c>
      <c r="E60" s="17">
        <v>69548</v>
      </c>
      <c r="F60" s="17">
        <v>66674</v>
      </c>
      <c r="G60" s="18">
        <f>IF(AND(F65&lt;&gt;11250,66674&lt;&gt;0),IF(100*66674/(F65-11250)&lt;0.005,"*",100*66674/(F65-11250)),0)</f>
        <v>2.978179787828029</v>
      </c>
    </row>
    <row r="61" spans="1:7" ht="12.75">
      <c r="A61" s="11" t="s">
        <v>143</v>
      </c>
      <c r="B61" s="17">
        <v>0</v>
      </c>
      <c r="C61" s="17">
        <v>0</v>
      </c>
      <c r="D61" s="17">
        <v>0</v>
      </c>
      <c r="E61" s="17">
        <v>0</v>
      </c>
      <c r="F61" s="17">
        <v>0</v>
      </c>
      <c r="G61" s="18">
        <f>IF(AND(F65&lt;&gt;11250,0&lt;&gt;0),IF(100*0/(F65-11250)&lt;0.005,"*",100*0/(F65-11250)),0)</f>
        <v>0</v>
      </c>
    </row>
    <row r="62" spans="1:7" ht="12.75">
      <c r="A62" s="11" t="s">
        <v>144</v>
      </c>
      <c r="B62" s="17">
        <v>2878</v>
      </c>
      <c r="C62" s="17">
        <v>0</v>
      </c>
      <c r="D62" s="17">
        <v>2878</v>
      </c>
      <c r="E62" s="17">
        <v>2878</v>
      </c>
      <c r="F62" s="17">
        <v>2683</v>
      </c>
      <c r="G62" s="18">
        <f>IF(AND(F65&lt;&gt;11250,2683&lt;&gt;0),IF(100*2683/(F65-11250)&lt;0.005,"*",100*2683/(F65-11250)),0)</f>
        <v>0.11984366275823562</v>
      </c>
    </row>
    <row r="63" spans="1:7" ht="12.75">
      <c r="A63" s="11" t="s">
        <v>145</v>
      </c>
      <c r="B63" s="17">
        <v>11690</v>
      </c>
      <c r="C63" s="17">
        <v>0</v>
      </c>
      <c r="D63" s="17">
        <v>11690</v>
      </c>
      <c r="E63" s="17">
        <v>11690</v>
      </c>
      <c r="F63" s="17">
        <v>11194</v>
      </c>
      <c r="G63" s="18">
        <f>IF(AND(F65&lt;&gt;11250,11194&lt;&gt;0),IF(100*11194/(F65-11250)&lt;0.005,"*",100*11194/(F65-11250)),0)</f>
        <v>0.5000111669458404</v>
      </c>
    </row>
    <row r="64" spans="1:7" ht="12.75">
      <c r="A64" s="11" t="s">
        <v>146</v>
      </c>
      <c r="B64" s="17">
        <v>65795</v>
      </c>
      <c r="C64" s="17">
        <v>0</v>
      </c>
      <c r="D64" s="17">
        <v>105742</v>
      </c>
      <c r="E64" s="17">
        <v>105742</v>
      </c>
      <c r="F64" s="17">
        <v>11250</v>
      </c>
      <c r="G64" s="18">
        <v>0</v>
      </c>
    </row>
    <row r="65" spans="1:7" ht="15" customHeight="1">
      <c r="A65" s="19" t="s">
        <v>87</v>
      </c>
      <c r="B65" s="20">
        <f>36285+10833+35496+22040+254341+25437+21574+10833+10833+102927+59838+10833+10853+93724+38852+17873+18241+35840+52095+10833+33206+41946+91173+31237+34059+39456+10833+11110+11417+10833+52363+18096+188308+49793+10833+85802+26237+22084+93503+10833+28553+10833+38844+186990+14923+10833+40760+37521+19680+37733+10833+2673+4496+1644+70448+0+2878+11690+65795+0</f>
        <v>2349830</v>
      </c>
      <c r="C65" s="20">
        <f>0+0+0+0+0+0+0+0+0+0+0+0+0+0+0+0+0+0+0+0+0+0+0+0+0+0+0+0+0+0+0+0+0+0+0+0+0+0+0+0+0+0+0+0+0+0+0+0+0+0+0+0+0+0+0+0+0+0+0+0</f>
        <v>0</v>
      </c>
      <c r="D65" s="20">
        <f>35676+10634+34527+21573+249360+24880+21276+10634+10634+100712+58480+10634+10640+92142+38033+17563+17934+35304+51419+10634+32763+41304+89929+30785+33458+38707+10634+10911+11072+10634+51493+17722+186039+48490+10634+84478+25742+21681+92330+10634+27961+10634+38038+183151+14553+10634+40097+36711+19456+37161+10634+2673+4496+1644+69548+0+2878+11690+105742+0</f>
        <v>2349830</v>
      </c>
      <c r="E65" s="20">
        <f>SUM(C65:D65)</f>
        <v>2349830</v>
      </c>
      <c r="F65" s="20">
        <f>35848+10679+36873+21696+252007+25469+20781+10679+10679+103962+61651+10679+10700+90464+38733+17421+17881+34742+49333+10679+32250+39943+86280+30394+32466+38578+10679+10917+12163+10679+50874+17570+176892+51479+10679+83244+25913+21896+89157+10679+28990+10679+39366+188122+15192+10679+40564+36929+18309+36492+10679+2608+4291+1611+66674+0+2683+11194+11250+0</f>
        <v>2250000</v>
      </c>
      <c r="G65" s="21" t="s">
        <v>147</v>
      </c>
    </row>
    <row r="66" spans="1:7" ht="15" customHeight="1">
      <c r="A66" s="33" t="s">
        <v>148</v>
      </c>
      <c r="B66" s="33"/>
      <c r="C66" s="33"/>
      <c r="D66" s="33"/>
      <c r="E66" s="33"/>
      <c r="F66" s="33"/>
      <c r="G66" s="33"/>
    </row>
    <row r="67" spans="1:7" ht="15" customHeight="1">
      <c r="A67" s="26" t="s">
        <v>149</v>
      </c>
      <c r="B67" s="26"/>
      <c r="C67" s="26"/>
      <c r="D67" s="26"/>
      <c r="E67" s="26"/>
      <c r="F67" s="26"/>
      <c r="G67" s="26"/>
    </row>
  </sheetData>
  <sheetProtection/>
  <mergeCells count="6">
    <mergeCell ref="A67:G67"/>
    <mergeCell ref="A4:A5"/>
    <mergeCell ref="B4:B5"/>
    <mergeCell ref="F4:F5"/>
    <mergeCell ref="G4:G5"/>
    <mergeCell ref="A66:G66"/>
  </mergeCells>
  <printOptions/>
  <pageMargins left="0.7" right="0.7" top="0.75" bottom="0.75" header="0.3" footer="0.3"/>
  <pageSetup fitToHeight="1" fitToWidth="1"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I68"/>
  <sheetViews>
    <sheetView zoomScalePageLayoutView="0" workbookViewId="0" topLeftCell="A1">
      <selection activeCell="A1" sqref="A1"/>
    </sheetView>
  </sheetViews>
  <sheetFormatPr defaultColWidth="9.140625" defaultRowHeight="12.75"/>
  <cols>
    <col min="1" max="1" width="30.7109375" style="0" customWidth="1"/>
    <col min="2" max="7" width="11.7109375" style="0" customWidth="1"/>
  </cols>
  <sheetData>
    <row r="1" spans="1:7" ht="38.25" customHeight="1">
      <c r="A1" s="12" t="s">
        <v>161</v>
      </c>
      <c r="B1" s="10"/>
      <c r="C1" s="10"/>
      <c r="D1" s="10"/>
      <c r="E1" s="10"/>
      <c r="F1" s="10"/>
      <c r="G1" s="12" t="s">
        <v>162</v>
      </c>
    </row>
    <row r="2" spans="1:7" ht="12.75">
      <c r="A2" s="13" t="s">
        <v>163</v>
      </c>
      <c r="B2" s="14"/>
      <c r="C2" s="14"/>
      <c r="D2" s="14"/>
      <c r="E2" s="14"/>
      <c r="F2" s="14"/>
      <c r="G2" s="14"/>
    </row>
    <row r="3" spans="1:7" ht="12.75">
      <c r="A3" s="14" t="s">
        <v>79</v>
      </c>
      <c r="B3" s="14"/>
      <c r="C3" s="14"/>
      <c r="D3" s="14"/>
      <c r="E3" s="14"/>
      <c r="F3" s="14"/>
      <c r="G3" s="14"/>
    </row>
    <row r="4" spans="1:7" ht="12.75">
      <c r="A4" s="27" t="s">
        <v>80</v>
      </c>
      <c r="B4" s="29" t="s">
        <v>81</v>
      </c>
      <c r="C4" s="16" t="s">
        <v>82</v>
      </c>
      <c r="D4" s="16"/>
      <c r="E4" s="16"/>
      <c r="F4" s="29" t="s">
        <v>83</v>
      </c>
      <c r="G4" s="31" t="s">
        <v>84</v>
      </c>
    </row>
    <row r="5" spans="1:7" ht="25.5" customHeight="1">
      <c r="A5" s="28"/>
      <c r="B5" s="30"/>
      <c r="C5" s="15" t="s">
        <v>85</v>
      </c>
      <c r="D5" s="15" t="s">
        <v>86</v>
      </c>
      <c r="E5" s="15" t="s">
        <v>87</v>
      </c>
      <c r="F5" s="30"/>
      <c r="G5" s="32"/>
    </row>
    <row r="6" spans="1:7" ht="12.75">
      <c r="A6" s="11" t="s">
        <v>88</v>
      </c>
      <c r="B6" s="17">
        <v>179554</v>
      </c>
      <c r="C6" s="17">
        <v>0</v>
      </c>
      <c r="D6" s="17">
        <v>185387</v>
      </c>
      <c r="E6" s="17">
        <v>185387</v>
      </c>
      <c r="F6" s="17">
        <v>185371</v>
      </c>
      <c r="G6" s="18">
        <f>IF(AND(F66&lt;&gt;0,185371&lt;&gt;0),IF(100*185371/(F66-0)&lt;0.005,"*",100*185371/(F66-0)),0)</f>
        <v>1.5560590827502165</v>
      </c>
    </row>
    <row r="7" spans="1:7" ht="12.75">
      <c r="A7" s="11" t="s">
        <v>89</v>
      </c>
      <c r="B7" s="17">
        <v>36205</v>
      </c>
      <c r="C7" s="17">
        <v>0</v>
      </c>
      <c r="D7" s="17">
        <v>37588</v>
      </c>
      <c r="E7" s="17">
        <v>37588</v>
      </c>
      <c r="F7" s="17">
        <v>37584</v>
      </c>
      <c r="G7" s="18">
        <f>IF(AND(F66&lt;&gt;0,37584&lt;&gt;0),IF(100*37584/(F66-0)&lt;0.005,"*",100*37584/(F66-0)),0)</f>
        <v>0.31549122875791863</v>
      </c>
    </row>
    <row r="8" spans="1:7" ht="12.75">
      <c r="A8" s="11" t="s">
        <v>90</v>
      </c>
      <c r="B8" s="17">
        <v>189437</v>
      </c>
      <c r="C8" s="17">
        <v>0</v>
      </c>
      <c r="D8" s="17">
        <v>199116</v>
      </c>
      <c r="E8" s="17">
        <v>199116</v>
      </c>
      <c r="F8" s="17">
        <v>199098</v>
      </c>
      <c r="G8" s="18">
        <f>IF(AND(F66&lt;&gt;0,199098&lt;&gt;0),IF(100*199098/(F66-0)&lt;0.005,"*",100*199098/(F66-0)),0)</f>
        <v>1.6712875868253536</v>
      </c>
    </row>
    <row r="9" spans="1:7" ht="12.75">
      <c r="A9" s="11" t="s">
        <v>91</v>
      </c>
      <c r="B9" s="17">
        <v>110593</v>
      </c>
      <c r="C9" s="17">
        <v>0</v>
      </c>
      <c r="D9" s="17">
        <v>114186</v>
      </c>
      <c r="E9" s="17">
        <v>114186</v>
      </c>
      <c r="F9" s="17">
        <v>114176</v>
      </c>
      <c r="G9" s="18">
        <f>IF(AND(F66&lt;&gt;0,114176&lt;&gt;0),IF(100*114176/(F66-0)&lt;0.005,"*",100*114176/(F66-0)),0)</f>
        <v>0.9584271640768444</v>
      </c>
    </row>
    <row r="10" spans="1:7" ht="12.75">
      <c r="A10" s="11" t="s">
        <v>92</v>
      </c>
      <c r="B10" s="17">
        <v>1208133</v>
      </c>
      <c r="C10" s="17">
        <v>0</v>
      </c>
      <c r="D10" s="17">
        <v>1247378</v>
      </c>
      <c r="E10" s="17">
        <v>1247378</v>
      </c>
      <c r="F10" s="17">
        <v>1247270</v>
      </c>
      <c r="G10" s="18">
        <f>IF(AND(F66&lt;&gt;0,1247270&lt;&gt;0),IF(100*1247270/(F66-0)&lt;0.005,"*",100*1247270/(F66-0)),0)</f>
        <v>10.469953833889134</v>
      </c>
    </row>
    <row r="11" spans="1:7" ht="12.75">
      <c r="A11" s="11" t="s">
        <v>93</v>
      </c>
      <c r="B11" s="17">
        <v>154794</v>
      </c>
      <c r="C11" s="17">
        <v>0</v>
      </c>
      <c r="D11" s="17">
        <v>162532</v>
      </c>
      <c r="E11" s="17">
        <v>162532</v>
      </c>
      <c r="F11" s="17">
        <v>162517</v>
      </c>
      <c r="G11" s="18">
        <f>IF(AND(F66&lt;&gt;0,162517&lt;&gt;0),IF(100*162517/(F66-0)&lt;0.005,"*",100*162517/(F66-0)),0)</f>
        <v>1.364215837166099</v>
      </c>
    </row>
    <row r="12" spans="1:7" ht="12.75">
      <c r="A12" s="11" t="s">
        <v>94</v>
      </c>
      <c r="B12" s="17">
        <v>131525</v>
      </c>
      <c r="C12" s="17">
        <v>0</v>
      </c>
      <c r="D12" s="17">
        <v>135798</v>
      </c>
      <c r="E12" s="17">
        <v>135798</v>
      </c>
      <c r="F12" s="17">
        <v>135787</v>
      </c>
      <c r="G12" s="18">
        <f>IF(AND(F66&lt;&gt;0,135787&lt;&gt;0),IF(100*135787/(F66-0)&lt;0.005,"*",100*135787/(F66-0)),0)</f>
        <v>1.1398362994718896</v>
      </c>
    </row>
    <row r="13" spans="1:7" ht="12.75">
      <c r="A13" s="11" t="s">
        <v>95</v>
      </c>
      <c r="B13" s="17">
        <v>35064</v>
      </c>
      <c r="C13" s="17">
        <v>0</v>
      </c>
      <c r="D13" s="17">
        <v>36565</v>
      </c>
      <c r="E13" s="17">
        <v>36565</v>
      </c>
      <c r="F13" s="17">
        <v>36562</v>
      </c>
      <c r="G13" s="18">
        <f>IF(AND(F66&lt;&gt;0,36562&lt;&gt;0),IF(100*36562/(F66-0)&lt;0.005,"*",100*36562/(F66-0)),0)</f>
        <v>0.3069122580312639</v>
      </c>
    </row>
    <row r="14" spans="1:7" ht="12.75">
      <c r="A14" s="11" t="s">
        <v>96</v>
      </c>
      <c r="B14" s="17">
        <v>17630</v>
      </c>
      <c r="C14" s="17">
        <v>0</v>
      </c>
      <c r="D14" s="17">
        <v>18531</v>
      </c>
      <c r="E14" s="17">
        <v>18531</v>
      </c>
      <c r="F14" s="17">
        <v>18529</v>
      </c>
      <c r="G14" s="18">
        <f>IF(AND(F66&lt;&gt;0,18529&lt;&gt;0),IF(100*18529/(F66-0)&lt;0.005,"*",100*18529/(F66-0)),0)</f>
        <v>0.15553791447572038</v>
      </c>
    </row>
    <row r="15" spans="1:7" ht="12.75">
      <c r="A15" s="11" t="s">
        <v>97</v>
      </c>
      <c r="B15" s="17">
        <v>635778</v>
      </c>
      <c r="C15" s="17">
        <v>0</v>
      </c>
      <c r="D15" s="17">
        <v>656431</v>
      </c>
      <c r="E15" s="17">
        <v>656431</v>
      </c>
      <c r="F15" s="17">
        <v>656376</v>
      </c>
      <c r="G15" s="18">
        <f>IF(AND(F66&lt;&gt;0,656376&lt;&gt;0),IF(100*656376/(F66-0)&lt;0.005,"*",100*656376/(F66-0)),0)</f>
        <v>5.509814569157291</v>
      </c>
    </row>
    <row r="16" spans="1:7" ht="12.75">
      <c r="A16" s="11" t="s">
        <v>98</v>
      </c>
      <c r="B16" s="17">
        <v>329031</v>
      </c>
      <c r="C16" s="17">
        <v>0</v>
      </c>
      <c r="D16" s="17">
        <v>345843</v>
      </c>
      <c r="E16" s="17">
        <v>345843</v>
      </c>
      <c r="F16" s="17">
        <v>345811</v>
      </c>
      <c r="G16" s="18">
        <f>IF(AND(F66&lt;&gt;0,345811&lt;&gt;0),IF(100*345811/(F66-0)&lt;0.005,"*",100*345811/(F66-0)),0)</f>
        <v>2.902839966688075</v>
      </c>
    </row>
    <row r="17" spans="1:7" ht="12.75">
      <c r="A17" s="11" t="s">
        <v>99</v>
      </c>
      <c r="B17" s="17">
        <v>39325</v>
      </c>
      <c r="C17" s="17">
        <v>0</v>
      </c>
      <c r="D17" s="17">
        <v>40602</v>
      </c>
      <c r="E17" s="17">
        <v>40602</v>
      </c>
      <c r="F17" s="17">
        <v>40599</v>
      </c>
      <c r="G17" s="18">
        <f>IF(AND(F66&lt;&gt;0,40599&lt;&gt;0),IF(100*40599/(F66-0)&lt;0.005,"*",100*40599/(F66-0)),0)</f>
        <v>0.34080003183117125</v>
      </c>
    </row>
    <row r="18" spans="1:7" ht="12.75">
      <c r="A18" s="11" t="s">
        <v>100</v>
      </c>
      <c r="B18" s="17">
        <v>55464</v>
      </c>
      <c r="C18" s="17">
        <v>0</v>
      </c>
      <c r="D18" s="17">
        <v>57340</v>
      </c>
      <c r="E18" s="17">
        <v>57340</v>
      </c>
      <c r="F18" s="17">
        <v>57335</v>
      </c>
      <c r="G18" s="18">
        <f>IF(AND(F66&lt;&gt;0,57335&lt;&gt;0),IF(100*57335/(F66-0)&lt;0.005,"*",100*57335/(F66-0)),0)</f>
        <v>0.4812869732023006</v>
      </c>
    </row>
    <row r="19" spans="1:7" ht="12.75">
      <c r="A19" s="11" t="s">
        <v>101</v>
      </c>
      <c r="B19" s="17">
        <v>500249</v>
      </c>
      <c r="C19" s="17">
        <v>0</v>
      </c>
      <c r="D19" s="17">
        <v>516499</v>
      </c>
      <c r="E19" s="17">
        <v>516499</v>
      </c>
      <c r="F19" s="17">
        <v>516457</v>
      </c>
      <c r="G19" s="18">
        <f>IF(AND(F66&lt;&gt;0,516457&lt;&gt;0),IF(100*516457/(F66-0)&lt;0.005,"*",100*516457/(F66-0)),0)</f>
        <v>4.33529303774554</v>
      </c>
    </row>
    <row r="20" spans="1:7" ht="12.75">
      <c r="A20" s="11" t="s">
        <v>102</v>
      </c>
      <c r="B20" s="17">
        <v>255747</v>
      </c>
      <c r="C20" s="17">
        <v>0</v>
      </c>
      <c r="D20" s="17">
        <v>264054</v>
      </c>
      <c r="E20" s="17">
        <v>264054</v>
      </c>
      <c r="F20" s="17">
        <v>264033</v>
      </c>
      <c r="G20" s="18">
        <f>IF(AND(F66&lt;&gt;0,264033&lt;&gt;0),IF(100*264033/(F66-0)&lt;0.005,"*",100*264033/(F66-0)),0)</f>
        <v>2.2163712112239127</v>
      </c>
    </row>
    <row r="21" spans="1:9" ht="12.75">
      <c r="A21" s="11" t="s">
        <v>103</v>
      </c>
      <c r="B21" s="17">
        <v>120799</v>
      </c>
      <c r="C21" s="17">
        <v>0</v>
      </c>
      <c r="D21" s="17">
        <v>124724</v>
      </c>
      <c r="E21" s="17">
        <v>124724</v>
      </c>
      <c r="F21" s="17">
        <v>124714</v>
      </c>
      <c r="G21" s="18">
        <f>IF(AND(F66&lt;&gt;0,124713&lt;&gt;0),IF(100*124713/(F66-0)&lt;0.005,"*",100*124713/(F66-0)),0)</f>
        <v>1.0468778632419729</v>
      </c>
      <c r="I21" s="24"/>
    </row>
    <row r="22" spans="1:7" ht="12.75">
      <c r="A22" s="11" t="s">
        <v>104</v>
      </c>
      <c r="B22" s="17">
        <v>105499</v>
      </c>
      <c r="C22" s="17">
        <v>0</v>
      </c>
      <c r="D22" s="17">
        <v>108926</v>
      </c>
      <c r="E22" s="17">
        <v>108926</v>
      </c>
      <c r="F22" s="17">
        <v>108917</v>
      </c>
      <c r="G22" s="18">
        <f>IF(AND(F66&lt;&gt;0,108917&lt;&gt;0),IF(100*108917/(F66-0)&lt;0.005,"*",100*108917/(F66-0)),0)</f>
        <v>0.9142815603082755</v>
      </c>
    </row>
    <row r="23" spans="1:7" ht="12.75">
      <c r="A23" s="11" t="s">
        <v>105</v>
      </c>
      <c r="B23" s="17">
        <v>156213</v>
      </c>
      <c r="C23" s="17">
        <v>0</v>
      </c>
      <c r="D23" s="17">
        <v>161287</v>
      </c>
      <c r="E23" s="17">
        <v>161287</v>
      </c>
      <c r="F23" s="17">
        <v>161274</v>
      </c>
      <c r="G23" s="18">
        <f>IF(AND(F66&lt;&gt;0,161274&lt;&gt;0),IF(100*161274/(F66-0)&lt;0.005,"*",100*161274/(F66-0)),0)</f>
        <v>1.3537817269770267</v>
      </c>
    </row>
    <row r="24" spans="1:7" ht="12.75">
      <c r="A24" s="11" t="s">
        <v>106</v>
      </c>
      <c r="B24" s="17">
        <v>186353</v>
      </c>
      <c r="C24" s="17">
        <v>0</v>
      </c>
      <c r="D24" s="17">
        <v>192407</v>
      </c>
      <c r="E24" s="17">
        <v>192407</v>
      </c>
      <c r="F24" s="17">
        <v>192390</v>
      </c>
      <c r="G24" s="18">
        <f>IF(AND(F66&lt;&gt;0,192390&lt;&gt;0),IF(100*192390/(F66-0)&lt;0.005,"*",100*192390/(F66-0)),0)</f>
        <v>1.6149786478484454</v>
      </c>
    </row>
    <row r="25" spans="1:7" ht="12.75">
      <c r="A25" s="11" t="s">
        <v>107</v>
      </c>
      <c r="B25" s="17">
        <v>54143</v>
      </c>
      <c r="C25" s="17">
        <v>0</v>
      </c>
      <c r="D25" s="17">
        <v>55902</v>
      </c>
      <c r="E25" s="17">
        <v>55902</v>
      </c>
      <c r="F25" s="17">
        <v>55898</v>
      </c>
      <c r="G25" s="18">
        <f>IF(AND(F66&lt;&gt;0,55898&lt;&gt;0),IF(100*55898/(F66-0)&lt;0.005,"*",100*55898/(F66-0)),0)</f>
        <v>0.46922436954848173</v>
      </c>
    </row>
    <row r="26" spans="1:7" ht="12.75">
      <c r="A26" s="11" t="s">
        <v>108</v>
      </c>
      <c r="B26" s="17">
        <v>197813</v>
      </c>
      <c r="C26" s="17">
        <v>0</v>
      </c>
      <c r="D26" s="17">
        <v>204239</v>
      </c>
      <c r="E26" s="17">
        <v>204239</v>
      </c>
      <c r="F26" s="17">
        <v>204222</v>
      </c>
      <c r="G26" s="18">
        <f>IF(AND(F66&lt;&gt;0,204222&lt;&gt;0),IF(100*204222/(F66-0)&lt;0.005,"*",100*204222/(F66-0)),0)</f>
        <v>1.714299960605568</v>
      </c>
    </row>
    <row r="27" spans="1:7" ht="12.75">
      <c r="A27" s="11" t="s">
        <v>109</v>
      </c>
      <c r="B27" s="17">
        <v>280882</v>
      </c>
      <c r="C27" s="17">
        <v>0</v>
      </c>
      <c r="D27" s="17">
        <v>290006</v>
      </c>
      <c r="E27" s="17">
        <v>290006</v>
      </c>
      <c r="F27" s="17">
        <v>289983</v>
      </c>
      <c r="G27" s="18">
        <f>IF(AND(F66&lt;&gt;0,289983&lt;&gt;0),IF(100*289983/(F66-0)&lt;0.005,"*",100*289983/(F66-0)),0)</f>
        <v>2.4342031978742957</v>
      </c>
    </row>
    <row r="28" spans="1:7" ht="12.75">
      <c r="A28" s="11" t="s">
        <v>110</v>
      </c>
      <c r="B28" s="17">
        <v>394756</v>
      </c>
      <c r="C28" s="17">
        <v>0</v>
      </c>
      <c r="D28" s="17">
        <v>407579</v>
      </c>
      <c r="E28" s="17">
        <v>407579</v>
      </c>
      <c r="F28" s="17">
        <v>407544</v>
      </c>
      <c r="G28" s="18">
        <f>IF(AND(F66&lt;&gt;0,407544&lt;&gt;0),IF(100*407544/(F66-0)&lt;0.005,"*",100*407544/(F66-0)),0)</f>
        <v>3.421045054622105</v>
      </c>
    </row>
    <row r="29" spans="1:7" ht="12.75">
      <c r="A29" s="11" t="s">
        <v>111</v>
      </c>
      <c r="B29" s="17">
        <v>187555</v>
      </c>
      <c r="C29" s="17">
        <v>0</v>
      </c>
      <c r="D29" s="17">
        <v>193647</v>
      </c>
      <c r="E29" s="17">
        <v>193647</v>
      </c>
      <c r="F29" s="17">
        <v>193632</v>
      </c>
      <c r="G29" s="18">
        <f>IF(AND(F66&lt;&gt;0,193632&lt;&gt;0),IF(100*193632/(F66-0)&lt;0.005,"*",100*193632/(F66-0)),0)</f>
        <v>1.6254043637413076</v>
      </c>
    </row>
    <row r="30" spans="1:7" ht="12.75">
      <c r="A30" s="11" t="s">
        <v>112</v>
      </c>
      <c r="B30" s="17">
        <v>118398</v>
      </c>
      <c r="C30" s="17">
        <v>0</v>
      </c>
      <c r="D30" s="17">
        <v>122244</v>
      </c>
      <c r="E30" s="17">
        <v>122244</v>
      </c>
      <c r="F30" s="17">
        <v>122234</v>
      </c>
      <c r="G30" s="18">
        <f>IF(AND(F66&lt;&gt;0,122234&lt;&gt;0),IF(100*122234/(F66-0)&lt;0.005,"*",100*122234/(F66-0)),0)</f>
        <v>1.0260684029372986</v>
      </c>
    </row>
    <row r="31" spans="1:7" ht="12.75">
      <c r="A31" s="11" t="s">
        <v>113</v>
      </c>
      <c r="B31" s="17">
        <v>224734</v>
      </c>
      <c r="C31" s="17">
        <v>0</v>
      </c>
      <c r="D31" s="17">
        <v>232035</v>
      </c>
      <c r="E31" s="17">
        <v>232035</v>
      </c>
      <c r="F31" s="17">
        <v>232016</v>
      </c>
      <c r="G31" s="18">
        <f>IF(AND(F66&lt;&gt;0,232016&lt;&gt;0),IF(100*232016/(F66-0)&lt;0.005,"*",100*232016/(F66-0)),0)</f>
        <v>1.9476110294672535</v>
      </c>
    </row>
    <row r="32" spans="1:7" ht="12.75">
      <c r="A32" s="11" t="s">
        <v>114</v>
      </c>
      <c r="B32" s="17">
        <v>36955</v>
      </c>
      <c r="C32" s="17">
        <v>0</v>
      </c>
      <c r="D32" s="17">
        <v>38338</v>
      </c>
      <c r="E32" s="17">
        <v>38338</v>
      </c>
      <c r="F32" s="17">
        <v>38335</v>
      </c>
      <c r="G32" s="18">
        <f>IF(AND(F66&lt;&gt;0,38335&lt;&gt;0),IF(100*38335/(F66-0)&lt;0.005,"*",100*38335/(F66-0)),0)</f>
        <v>0.3217953452116542</v>
      </c>
    </row>
    <row r="33" spans="1:7" ht="12.75">
      <c r="A33" s="11" t="s">
        <v>115</v>
      </c>
      <c r="B33" s="17">
        <v>73884</v>
      </c>
      <c r="C33" s="17">
        <v>0</v>
      </c>
      <c r="D33" s="17">
        <v>76285</v>
      </c>
      <c r="E33" s="17">
        <v>76285</v>
      </c>
      <c r="F33" s="17">
        <v>76278</v>
      </c>
      <c r="G33" s="18">
        <f>IF(AND(F66&lt;&gt;0,76278&lt;&gt;0),IF(100*76278/(F66-0)&lt;0.005,"*",100*76278/(F66-0)),0)</f>
        <v>0.640300126308975</v>
      </c>
    </row>
    <row r="34" spans="1:7" ht="12.75">
      <c r="A34" s="11" t="s">
        <v>116</v>
      </c>
      <c r="B34" s="17">
        <v>71970</v>
      </c>
      <c r="C34" s="17">
        <v>0</v>
      </c>
      <c r="D34" s="17">
        <v>75647</v>
      </c>
      <c r="E34" s="17">
        <v>75647</v>
      </c>
      <c r="F34" s="17">
        <v>75640</v>
      </c>
      <c r="G34" s="18">
        <f>IF(AND(F66&lt;&gt;0,75640&lt;&gt;0),IF(100*75640/(F66-0)&lt;0.005,"*",100*75640/(F66-0)),0)</f>
        <v>0.6349445653269734</v>
      </c>
    </row>
    <row r="35" spans="1:7" ht="12.75">
      <c r="A35" s="11" t="s">
        <v>117</v>
      </c>
      <c r="B35" s="17">
        <v>46952</v>
      </c>
      <c r="C35" s="17">
        <v>0</v>
      </c>
      <c r="D35" s="17">
        <v>48478</v>
      </c>
      <c r="E35" s="17">
        <v>48478</v>
      </c>
      <c r="F35" s="17">
        <v>48474</v>
      </c>
      <c r="G35" s="18">
        <f>IF(AND(F66&lt;&gt;0,48474&lt;&gt;0),IF(100*48474/(F66-0)&lt;0.005,"*",100*48474/(F66-0)),0)</f>
        <v>0.4069051144851891</v>
      </c>
    </row>
    <row r="36" spans="1:7" ht="12.75">
      <c r="A36" s="11" t="s">
        <v>118</v>
      </c>
      <c r="B36" s="17">
        <v>357655</v>
      </c>
      <c r="C36" s="17">
        <v>0</v>
      </c>
      <c r="D36" s="17">
        <v>369274</v>
      </c>
      <c r="E36" s="17">
        <v>369274</v>
      </c>
      <c r="F36" s="17">
        <v>369244</v>
      </c>
      <c r="G36" s="18">
        <f>IF(AND(F66&lt;&gt;0,369244&lt;&gt;0),IF(100*369244/(F66-0)&lt;0.005,"*",100*369244/(F66-0)),0)</f>
        <v>3.0995435097778024</v>
      </c>
    </row>
    <row r="37" spans="1:7" ht="12.75">
      <c r="A37" s="11" t="s">
        <v>119</v>
      </c>
      <c r="B37" s="17">
        <v>90125</v>
      </c>
      <c r="C37" s="17">
        <v>0</v>
      </c>
      <c r="D37" s="17">
        <v>93052</v>
      </c>
      <c r="E37" s="17">
        <v>93052</v>
      </c>
      <c r="F37" s="17">
        <v>93045</v>
      </c>
      <c r="G37" s="18">
        <f>IF(AND(F66&lt;&gt;0,93045&lt;&gt;0),IF(100*93045/(F66-0)&lt;0.005,"*",100*93045/(F66-0)),0)</f>
        <v>0.7810472908626155</v>
      </c>
    </row>
    <row r="38" spans="1:7" ht="12.75">
      <c r="A38" s="11" t="s">
        <v>120</v>
      </c>
      <c r="B38" s="17">
        <v>750547</v>
      </c>
      <c r="C38" s="17">
        <v>0</v>
      </c>
      <c r="D38" s="17">
        <v>774928</v>
      </c>
      <c r="E38" s="17">
        <v>774928</v>
      </c>
      <c r="F38" s="17">
        <v>774865</v>
      </c>
      <c r="G38" s="18">
        <f>IF(AND(F66&lt;&gt;0,774865&lt;&gt;0),IF(100*774865/(F66-0)&lt;0.005,"*",100*774865/(F66-0)),0)</f>
        <v>6.504446332788012</v>
      </c>
    </row>
    <row r="39" spans="1:7" ht="12.75">
      <c r="A39" s="11" t="s">
        <v>121</v>
      </c>
      <c r="B39" s="17">
        <v>327670</v>
      </c>
      <c r="C39" s="17">
        <v>0</v>
      </c>
      <c r="D39" s="17">
        <v>343847</v>
      </c>
      <c r="E39" s="17">
        <v>343847</v>
      </c>
      <c r="F39" s="17">
        <v>343816</v>
      </c>
      <c r="G39" s="18">
        <f>IF(AND(F66&lt;&gt;0,343816&lt;&gt;0),IF(100*343816/(F66-0)&lt;0.005,"*",100*343816/(F66-0)),0)</f>
        <v>2.886093345749057</v>
      </c>
    </row>
    <row r="40" spans="1:7" ht="12.75">
      <c r="A40" s="11" t="s">
        <v>122</v>
      </c>
      <c r="B40" s="17">
        <v>28471</v>
      </c>
      <c r="C40" s="17">
        <v>0</v>
      </c>
      <c r="D40" s="17">
        <v>29926</v>
      </c>
      <c r="E40" s="17">
        <v>29926</v>
      </c>
      <c r="F40" s="17">
        <v>29923</v>
      </c>
      <c r="G40" s="18">
        <f>IF(AND(F66&lt;&gt;0,29923&lt;&gt;0),IF(100*29923/(F66-0)&lt;0.005,"*",100*29923/(F66-0)),0)</f>
        <v>0.25118252549284803</v>
      </c>
    </row>
    <row r="41" spans="1:7" ht="12.75">
      <c r="A41" s="11" t="s">
        <v>123</v>
      </c>
      <c r="B41" s="17">
        <v>431521</v>
      </c>
      <c r="C41" s="17">
        <v>0</v>
      </c>
      <c r="D41" s="17">
        <v>445538</v>
      </c>
      <c r="E41" s="17">
        <v>445538</v>
      </c>
      <c r="F41" s="17">
        <v>445500</v>
      </c>
      <c r="G41" s="18">
        <f>IF(AND(F66&lt;&gt;0,445500&lt;&gt;0),IF(100*445500/(F66-0)&lt;0.005,"*",100*445500/(F66-0)),0)</f>
        <v>3.7396589615701563</v>
      </c>
    </row>
    <row r="42" spans="1:7" ht="12.75">
      <c r="A42" s="11" t="s">
        <v>124</v>
      </c>
      <c r="B42" s="17">
        <v>146736</v>
      </c>
      <c r="C42" s="17">
        <v>0</v>
      </c>
      <c r="D42" s="17">
        <v>151503</v>
      </c>
      <c r="E42" s="17">
        <v>151503</v>
      </c>
      <c r="F42" s="17">
        <v>151490</v>
      </c>
      <c r="G42" s="18">
        <f>IF(AND(F66&lt;&gt;0,151490&lt;&gt;0),IF(100*151490/(F66-0)&lt;0.005,"*",100*151490/(F66-0)),0)</f>
        <v>1.2716519328580538</v>
      </c>
    </row>
    <row r="43" spans="1:7" ht="12.75">
      <c r="A43" s="11" t="s">
        <v>125</v>
      </c>
      <c r="B43" s="17">
        <v>127282</v>
      </c>
      <c r="C43" s="17">
        <v>0</v>
      </c>
      <c r="D43" s="17">
        <v>131417</v>
      </c>
      <c r="E43" s="17">
        <v>131417</v>
      </c>
      <c r="F43" s="17">
        <v>131406</v>
      </c>
      <c r="G43" s="18">
        <f>IF(AND(F66&lt;&gt;0,131406&lt;&gt;0),IF(100*131406/(F66-0)&lt;0.005,"*",100*131406/(F66-0)),0)</f>
        <v>1.1030608877757306</v>
      </c>
    </row>
    <row r="44" spans="1:7" ht="12.75">
      <c r="A44" s="11" t="s">
        <v>126</v>
      </c>
      <c r="B44" s="17">
        <v>421228</v>
      </c>
      <c r="C44" s="17">
        <v>0</v>
      </c>
      <c r="D44" s="17">
        <v>434911</v>
      </c>
      <c r="E44" s="17">
        <v>434911</v>
      </c>
      <c r="F44" s="17">
        <v>434874</v>
      </c>
      <c r="G44" s="18">
        <f>IF(AND(F66&lt;&gt;0,434874&lt;&gt;0),IF(100*434874/(F66-0)&lt;0.005,"*",100*434874/(F66-0)),0)</f>
        <v>3.650461170042335</v>
      </c>
    </row>
    <row r="45" spans="1:7" ht="12.75">
      <c r="A45" s="11" t="s">
        <v>127</v>
      </c>
      <c r="B45" s="17">
        <v>43270</v>
      </c>
      <c r="C45" s="17">
        <v>0</v>
      </c>
      <c r="D45" s="17">
        <v>44676</v>
      </c>
      <c r="E45" s="17">
        <v>44676</v>
      </c>
      <c r="F45" s="17">
        <v>44672</v>
      </c>
      <c r="G45" s="18">
        <f>IF(AND(F66&lt;&gt;0,44672&lt;&gt;0),IF(100*44672/(F66-0)&lt;0.005,"*",100*44672/(F66-0)),0)</f>
        <v>0.3749900002946398</v>
      </c>
    </row>
    <row r="46" spans="1:7" ht="12.75">
      <c r="A46" s="11" t="s">
        <v>128</v>
      </c>
      <c r="B46" s="17">
        <v>174982</v>
      </c>
      <c r="C46" s="17">
        <v>0</v>
      </c>
      <c r="D46" s="17">
        <v>180667</v>
      </c>
      <c r="E46" s="17">
        <v>180667</v>
      </c>
      <c r="F46" s="17">
        <v>180652</v>
      </c>
      <c r="G46" s="18">
        <f>IF(AND(F66&lt;&gt;0,180652&lt;&gt;0),IF(100*180652/(F66-0)&lt;0.005,"*",100*180652/(F66-0)),0)</f>
        <v>1.516446398935066</v>
      </c>
    </row>
    <row r="47" spans="1:9" ht="12.75">
      <c r="A47" s="11" t="s">
        <v>129</v>
      </c>
      <c r="B47" s="17">
        <v>33917</v>
      </c>
      <c r="C47" s="17">
        <v>0</v>
      </c>
      <c r="D47" s="17">
        <v>35650</v>
      </c>
      <c r="E47" s="17">
        <v>35650</v>
      </c>
      <c r="F47" s="17">
        <v>35647</v>
      </c>
      <c r="G47" s="18">
        <f>IF(AND(F66&lt;&gt;0,35646&lt;&gt;0),IF(100*35646/(F66-0)&lt;0.005,"*",100*35646/(F66-0)),0)</f>
        <v>0.29922308270287273</v>
      </c>
      <c r="I47" s="24"/>
    </row>
    <row r="48" spans="1:7" ht="12.75">
      <c r="A48" s="11" t="s">
        <v>130</v>
      </c>
      <c r="B48" s="17">
        <v>234992</v>
      </c>
      <c r="C48" s="17">
        <v>0</v>
      </c>
      <c r="D48" s="17">
        <v>242625</v>
      </c>
      <c r="E48" s="17">
        <v>242625</v>
      </c>
      <c r="F48" s="17">
        <v>242605</v>
      </c>
      <c r="G48" s="18">
        <f>IF(AND(F66&lt;&gt;0,242605&lt;&gt;0),IF(100*242605/(F66-0)&lt;0.005,"*",100*242605/(F66-0)),0)</f>
        <v>2.036498232035304</v>
      </c>
    </row>
    <row r="49" spans="1:7" ht="12.75">
      <c r="A49" s="11" t="s">
        <v>131</v>
      </c>
      <c r="B49" s="17">
        <v>984827</v>
      </c>
      <c r="C49" s="17">
        <v>0</v>
      </c>
      <c r="D49" s="17">
        <v>1029178</v>
      </c>
      <c r="E49" s="17">
        <v>1029178</v>
      </c>
      <c r="F49" s="17">
        <v>1029086</v>
      </c>
      <c r="G49" s="18">
        <f>IF(AND(F66&lt;&gt;0,1029086&lt;&gt;0),IF(100*1029086/(F66-0)&lt;0.005,"*",100*1029086/(F66-0)),0)</f>
        <v>8.63845270959907</v>
      </c>
    </row>
    <row r="50" spans="1:7" ht="12.75">
      <c r="A50" s="11" t="s">
        <v>132</v>
      </c>
      <c r="B50" s="17">
        <v>109942</v>
      </c>
      <c r="C50" s="17">
        <v>0</v>
      </c>
      <c r="D50" s="17">
        <v>115559</v>
      </c>
      <c r="E50" s="17">
        <v>115559</v>
      </c>
      <c r="F50" s="17">
        <v>115549</v>
      </c>
      <c r="G50" s="18">
        <f>IF(AND(F66&lt;&gt;0,115549&lt;&gt;0),IF(100*115549/(F66-0)&lt;0.005,"*",100*115549/(F66-0)),0)</f>
        <v>0.9699525327732211</v>
      </c>
    </row>
    <row r="51" spans="1:7" ht="12.75">
      <c r="A51" s="11" t="s">
        <v>133</v>
      </c>
      <c r="B51" s="17">
        <v>27452</v>
      </c>
      <c r="C51" s="17">
        <v>0</v>
      </c>
      <c r="D51" s="17">
        <v>28854</v>
      </c>
      <c r="E51" s="17">
        <v>28854</v>
      </c>
      <c r="F51" s="17">
        <v>28852</v>
      </c>
      <c r="G51" s="18">
        <f>IF(AND(F66&lt;&gt;0,28852&lt;&gt;0),IF(100*28852/(F66-0)&lt;0.005,"*",100*28852/(F66-0)),0)</f>
        <v>0.2421922342519016</v>
      </c>
    </row>
    <row r="52" spans="1:7" ht="12.75">
      <c r="A52" s="11" t="s">
        <v>134</v>
      </c>
      <c r="B52" s="17">
        <v>280977</v>
      </c>
      <c r="C52" s="17">
        <v>0</v>
      </c>
      <c r="D52" s="17">
        <v>290105</v>
      </c>
      <c r="E52" s="17">
        <v>290105</v>
      </c>
      <c r="F52" s="17">
        <v>290080</v>
      </c>
      <c r="G52" s="18">
        <f>IF(AND(F66&lt;&gt;0,290080&lt;&gt;0),IF(100*290080/(F66-0)&lt;0.005,"*",100*290080/(F66-0)),0)</f>
        <v>2.435017444606669</v>
      </c>
    </row>
    <row r="53" spans="1:7" ht="12.75">
      <c r="A53" s="11" t="s">
        <v>135</v>
      </c>
      <c r="B53" s="17">
        <v>218121</v>
      </c>
      <c r="C53" s="17">
        <v>0</v>
      </c>
      <c r="D53" s="17">
        <v>225207</v>
      </c>
      <c r="E53" s="17">
        <v>225207</v>
      </c>
      <c r="F53" s="17">
        <v>225187</v>
      </c>
      <c r="G53" s="18">
        <f>IF(AND(F66&lt;&gt;0,225187&lt;&gt;0),IF(100*225187/(F66-0)&lt;0.005,"*",100*225187/(F66-0)),0)</f>
        <v>1.8902863806489312</v>
      </c>
    </row>
    <row r="54" spans="1:7" ht="12.75">
      <c r="A54" s="11" t="s">
        <v>136</v>
      </c>
      <c r="B54" s="17">
        <v>75146</v>
      </c>
      <c r="C54" s="17">
        <v>0</v>
      </c>
      <c r="D54" s="17">
        <v>77587</v>
      </c>
      <c r="E54" s="17">
        <v>77587</v>
      </c>
      <c r="F54" s="17">
        <v>77581</v>
      </c>
      <c r="G54" s="18">
        <f>IF(AND(F66&lt;&gt;0,77581&lt;&gt;0),IF(100*77581/(F66-0)&lt;0.005,"*",100*77581/(F66-0)),0)</f>
        <v>0.6512378942706494</v>
      </c>
    </row>
    <row r="55" spans="1:7" ht="12.75">
      <c r="A55" s="11" t="s">
        <v>137</v>
      </c>
      <c r="B55" s="17">
        <v>205685</v>
      </c>
      <c r="C55" s="17">
        <v>0</v>
      </c>
      <c r="D55" s="17">
        <v>212367</v>
      </c>
      <c r="E55" s="17">
        <v>212367</v>
      </c>
      <c r="F55" s="17">
        <v>212349</v>
      </c>
      <c r="G55" s="18">
        <f>IF(AND(F66&lt;&gt;0,212349&lt;&gt;0),IF(100*212349/(F66-0)&lt;0.005,"*",100*212349/(F66-0)),0)</f>
        <v>1.7825204059045143</v>
      </c>
    </row>
    <row r="56" spans="1:7" ht="12.75">
      <c r="A56" s="11" t="s">
        <v>138</v>
      </c>
      <c r="B56" s="17">
        <v>28800</v>
      </c>
      <c r="C56" s="17">
        <v>0</v>
      </c>
      <c r="D56" s="17">
        <v>30271</v>
      </c>
      <c r="E56" s="17">
        <v>30271</v>
      </c>
      <c r="F56" s="17">
        <v>30268</v>
      </c>
      <c r="G56" s="18">
        <f>IF(AND(F66&lt;&gt;0,30268&lt;&gt;0),IF(100*30268/(F66-0)&lt;0.005,"*",100*30268/(F66-0)),0)</f>
        <v>0.25407855768530974</v>
      </c>
    </row>
    <row r="57" spans="1:7" ht="12.75">
      <c r="A57" s="11" t="s">
        <v>139</v>
      </c>
      <c r="B57" s="17">
        <v>6358</v>
      </c>
      <c r="C57" s="17">
        <v>0</v>
      </c>
      <c r="D57" s="17">
        <v>6358</v>
      </c>
      <c r="E57" s="17">
        <v>6358</v>
      </c>
      <c r="F57" s="17">
        <v>6358</v>
      </c>
      <c r="G57" s="18">
        <f>IF(AND(F66&lt;&gt;0,6358&lt;&gt;0),IF(100*6358/(F66-0)&lt;0.005,"*",100*6358/(F66-0)),0)</f>
        <v>0.05337093530339631</v>
      </c>
    </row>
    <row r="58" spans="1:7" ht="12.75">
      <c r="A58" s="11" t="s">
        <v>140</v>
      </c>
      <c r="B58" s="17">
        <v>14097</v>
      </c>
      <c r="C58" s="17">
        <v>0</v>
      </c>
      <c r="D58" s="17">
        <v>14097</v>
      </c>
      <c r="E58" s="17">
        <v>14097</v>
      </c>
      <c r="F58" s="17">
        <v>14097</v>
      </c>
      <c r="G58" s="18">
        <f>IF(AND(F66&lt;&gt;0,14097&lt;&gt;0),IF(100*14097/(F66-0)&lt;0.005,"*",100*14097/(F66-0)),0)</f>
        <v>0.11833439367284959</v>
      </c>
    </row>
    <row r="59" spans="1:7" ht="12.75">
      <c r="A59" s="11" t="s">
        <v>141</v>
      </c>
      <c r="B59" s="17">
        <v>4831</v>
      </c>
      <c r="C59" s="17">
        <v>0</v>
      </c>
      <c r="D59" s="17">
        <v>4831</v>
      </c>
      <c r="E59" s="17">
        <v>4831</v>
      </c>
      <c r="F59" s="17">
        <v>4831</v>
      </c>
      <c r="G59" s="18">
        <f>IF(AND(F66&lt;&gt;0,4831&lt;&gt;0),IF(100*4831/(F66-0)&lt;0.005,"*",100*4831/(F66-0)),0)</f>
        <v>0.04055284499067436</v>
      </c>
    </row>
    <row r="60" spans="1:7" ht="12.75">
      <c r="A60" s="11" t="s">
        <v>142</v>
      </c>
      <c r="B60" s="17">
        <v>115233</v>
      </c>
      <c r="C60" s="17">
        <v>0</v>
      </c>
      <c r="D60" s="17">
        <v>121120</v>
      </c>
      <c r="E60" s="17">
        <v>121120</v>
      </c>
      <c r="F60" s="17">
        <v>121109</v>
      </c>
      <c r="G60" s="18">
        <f>IF(AND(F66&lt;&gt;0,121109&lt;&gt;0),IF(100*121109/(F66-0)&lt;0.005,"*",100*121109/(F66-0)),0)</f>
        <v>1.0166248197010104</v>
      </c>
    </row>
    <row r="61" spans="1:7" ht="12.75">
      <c r="A61" s="11" t="s">
        <v>143</v>
      </c>
      <c r="B61" s="17">
        <v>8960</v>
      </c>
      <c r="C61" s="17">
        <v>0</v>
      </c>
      <c r="D61" s="17">
        <v>8960</v>
      </c>
      <c r="E61" s="17">
        <v>8960</v>
      </c>
      <c r="F61" s="17">
        <v>8960</v>
      </c>
      <c r="G61" s="18">
        <f>IF(AND(F66&lt;&gt;0,8960&lt;&gt;0),IF(100*8960/(F66-0)&lt;0.005,"*",100*8960/(F66-0)),0)</f>
        <v>0.07521289404190483</v>
      </c>
    </row>
    <row r="62" spans="1:7" ht="12.75">
      <c r="A62" s="11" t="s">
        <v>144</v>
      </c>
      <c r="B62" s="17">
        <v>6579</v>
      </c>
      <c r="C62" s="17">
        <v>0</v>
      </c>
      <c r="D62" s="17">
        <v>6579</v>
      </c>
      <c r="E62" s="17">
        <v>6579</v>
      </c>
      <c r="F62" s="17">
        <v>6579</v>
      </c>
      <c r="G62" s="18">
        <f>IF(AND(F66&lt;&gt;0,6579&lt;&gt;0),IF(100*6579/(F66-0)&lt;0.005,"*",100*6579/(F66-0)),0)</f>
        <v>0.05522607476581383</v>
      </c>
    </row>
    <row r="63" spans="1:7" ht="12.75">
      <c r="A63" s="11" t="s">
        <v>145</v>
      </c>
      <c r="B63" s="17">
        <v>94009</v>
      </c>
      <c r="C63" s="17">
        <v>0</v>
      </c>
      <c r="D63" s="17">
        <v>94170</v>
      </c>
      <c r="E63" s="17">
        <v>94170</v>
      </c>
      <c r="F63" s="17">
        <v>94170</v>
      </c>
      <c r="G63" s="18">
        <f>IF(AND(F66&lt;&gt;0,94170&lt;&gt;0),IF(100*94170/(F66-0)&lt;0.005,"*",100*94170/(F66-0)),0)</f>
        <v>0.7904908740989037</v>
      </c>
    </row>
    <row r="64" spans="1:7" ht="12.75">
      <c r="A64" s="11" t="s">
        <v>146</v>
      </c>
      <c r="B64" s="17">
        <v>0</v>
      </c>
      <c r="C64" s="17">
        <v>0</v>
      </c>
      <c r="D64" s="17">
        <v>0</v>
      </c>
      <c r="E64" s="17">
        <v>0</v>
      </c>
      <c r="F64" s="17">
        <v>0</v>
      </c>
      <c r="G64" s="18">
        <v>0</v>
      </c>
    </row>
    <row r="65" spans="1:7" ht="12.75">
      <c r="A65" s="11" t="s">
        <v>164</v>
      </c>
      <c r="B65" s="17">
        <v>13000</v>
      </c>
      <c r="C65" s="17">
        <v>0</v>
      </c>
      <c r="D65" s="17">
        <v>20000</v>
      </c>
      <c r="E65" s="17">
        <v>20000</v>
      </c>
      <c r="F65" s="17">
        <v>21000</v>
      </c>
      <c r="G65" s="18">
        <f>IF(AND(F66&lt;&gt;0,0&lt;&gt;0),IF(100*0/(F66-0)&lt;0.005,"*",100*0/(F66-0)),0)</f>
        <v>0</v>
      </c>
    </row>
    <row r="66" spans="1:7" ht="15" customHeight="1">
      <c r="A66" s="19" t="s">
        <v>87</v>
      </c>
      <c r="B66" s="20">
        <f>179554+36205+189437+110593+1208133+154794+131525+35064+17630+635778+329031+39325+55464+500249+255747+120799+105499+156213+186353+54143+197813+280882+394756+187555+118398+224734+36955+73884+71970+46952+357655+90125+750547+327670+28471+431521+146736+127282+421228+43270+174982+33917+234992+984827+109942+27452+280977+218121+75146+205685+28800+6358+14097+4831+115233+8960+6579+94009+0+13000+0</f>
        <v>11497848</v>
      </c>
      <c r="C66" s="17">
        <v>0</v>
      </c>
      <c r="D66" s="20">
        <f>185387+37588+199116+114186+1247378+162532+135798+36565+18531+656431+345843+40602+57340+516499+264054+124724+108926+161287+192407+55902+204239+290006+407579+193647+122244+232035+38338+76285+75647+48478+369274+93052+774928+343847+29926+445538+151503+131417+434911+44676+180667+35650+242625+1029178+115559+28854+290105+225207+77587+212367+30271+6358+14097+4831+121120+8960+6579+94170+0+20000</f>
        <v>11912851</v>
      </c>
      <c r="E66" s="20">
        <f>SUM(C66:D66)</f>
        <v>11912851</v>
      </c>
      <c r="F66" s="20">
        <f>185371+37584+199098+114176+1247270+162517+135787+36562+18529+656376+345811+40599+57335+516457+264033+124713+108917+161274+192390+55898+204222+289983+407544+193632+122234+232016+38335+76278+75640+48474+369244+93045+774865+343816+29923+445500+151490+131406+434874+44672+180652+35646+242605+1029086+115549+28852+290080+225187+77581+212349+30268+6358+14097+4831+121109+8960+6579+94170+0+0+21000+2</f>
        <v>11912851</v>
      </c>
      <c r="G66" s="21" t="s">
        <v>147</v>
      </c>
    </row>
    <row r="67" spans="1:7" ht="15" customHeight="1">
      <c r="A67" s="33" t="s">
        <v>148</v>
      </c>
      <c r="B67" s="33"/>
      <c r="C67" s="33"/>
      <c r="D67" s="33"/>
      <c r="E67" s="33"/>
      <c r="F67" s="33"/>
      <c r="G67" s="33"/>
    </row>
    <row r="68" spans="1:7" ht="15" customHeight="1">
      <c r="A68" s="26" t="s">
        <v>149</v>
      </c>
      <c r="B68" s="26"/>
      <c r="C68" s="26"/>
      <c r="D68" s="26"/>
      <c r="E68" s="26"/>
      <c r="F68" s="26"/>
      <c r="G68" s="26"/>
    </row>
  </sheetData>
  <sheetProtection/>
  <mergeCells count="6">
    <mergeCell ref="A68:G68"/>
    <mergeCell ref="A4:A5"/>
    <mergeCell ref="B4:B5"/>
    <mergeCell ref="F4:F5"/>
    <mergeCell ref="G4:G5"/>
    <mergeCell ref="A67:G67"/>
  </mergeCells>
  <printOptions/>
  <pageMargins left="0.7" right="0.7" top="0.75" bottom="0.75" header="0.3" footer="0.3"/>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OMB</dc:creator>
  <cp:keywords/>
  <dc:description/>
  <cp:lastModifiedBy>Lauer, Eric</cp:lastModifiedBy>
  <dcterms:created xsi:type="dcterms:W3CDTF">2016-01-26T19:45:35Z</dcterms:created>
  <dcterms:modified xsi:type="dcterms:W3CDTF">2016-02-04T17:07:29Z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